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7490" windowHeight="9000" activeTab="1"/>
  </bookViews>
  <sheets>
    <sheet name="Orçamento" sheetId="1" r:id="rId1"/>
    <sheet name="Cronograma" sheetId="2" r:id="rId2"/>
    <sheet name="Plan1" sheetId="3" r:id="rId3"/>
  </sheets>
  <externalReferences>
    <externalReference r:id="rId6"/>
    <externalReference r:id="rId7"/>
  </externalReferences>
  <definedNames>
    <definedName name="_xlnm.Print_Area" localSheetId="0">'Orçamento'!$A$1:$G$72</definedName>
    <definedName name="Import.CR">'[1]Dados'!$G$8</definedName>
    <definedName name="Import.Município">'[1]Dados'!$G$7</definedName>
    <definedName name="Import.Proponente">'[1]Dados'!$G$6</definedName>
    <definedName name="_xlnm.Print_Titles" localSheetId="0">'Orçamento'!$7:$8</definedName>
  </definedNames>
  <calcPr fullCalcOnLoad="1"/>
</workbook>
</file>

<file path=xl/sharedStrings.xml><?xml version="1.0" encoding="utf-8"?>
<sst xmlns="http://schemas.openxmlformats.org/spreadsheetml/2006/main" count="229" uniqueCount="132">
  <si>
    <t>Sinalização horizontal com termoplástico tipo Hot-spray</t>
  </si>
  <si>
    <t>CÓDIGO</t>
  </si>
  <si>
    <t>DESCRIÇÃO</t>
  </si>
  <si>
    <t>m²</t>
  </si>
  <si>
    <t>m³</t>
  </si>
  <si>
    <t>Placa de identificação para obra</t>
  </si>
  <si>
    <t>Camada de rolamento em concreto asfáltico usinado a quente - (CBUQ)</t>
  </si>
  <si>
    <t>Imprimação betuminosa ligante</t>
  </si>
  <si>
    <t>PLANILHA ORÇAMENTÁRIA</t>
  </si>
  <si>
    <t>FONTE</t>
  </si>
  <si>
    <t>UNID.</t>
  </si>
  <si>
    <t>QUANT.</t>
  </si>
  <si>
    <t>1.0</t>
  </si>
  <si>
    <t>SERVIÇOS PRELIMINARES</t>
  </si>
  <si>
    <t>CPOS</t>
  </si>
  <si>
    <t>TOTAL GERAL</t>
  </si>
  <si>
    <t>2.0</t>
  </si>
  <si>
    <t>461202</t>
  </si>
  <si>
    <t>461208</t>
  </si>
  <si>
    <t>461210</t>
  </si>
  <si>
    <t>491201</t>
  </si>
  <si>
    <t>Varrição de pavimento para recapeamento</t>
  </si>
  <si>
    <t>2.1</t>
  </si>
  <si>
    <t>Drenagem</t>
  </si>
  <si>
    <t>OBRA:</t>
  </si>
  <si>
    <t>_____________________________________________________</t>
  </si>
  <si>
    <t>Eng.º José Claudio Bertão Junior</t>
  </si>
  <si>
    <t>CREA/SP n.º 060.191.448-8</t>
  </si>
  <si>
    <t>TOTAL DA OBRA</t>
  </si>
  <si>
    <t>PREFEITURA DO MUNICÍPIO DE VARGEM</t>
  </si>
  <si>
    <t xml:space="preserve">Data base </t>
  </si>
  <si>
    <t>R$ UNIT.</t>
  </si>
  <si>
    <t>R$ TOTAL</t>
  </si>
  <si>
    <t>54.01.410</t>
  </si>
  <si>
    <t>54.03.230</t>
  </si>
  <si>
    <t>54.03.210</t>
  </si>
  <si>
    <t>VARGEM/SP</t>
  </si>
  <si>
    <t>RECAPEAMENTO ASFÁLTICO</t>
  </si>
  <si>
    <t xml:space="preserve">         QUADRO DE COMPOSIÇÃO DO BDI - PADRÃO</t>
  </si>
  <si>
    <t>Nº da Operação</t>
  </si>
  <si>
    <t>Gestor / Programa / Ação / Modalidade</t>
  </si>
  <si>
    <t>Município/UF</t>
  </si>
  <si>
    <t>Proponente</t>
  </si>
  <si>
    <t>Objeto</t>
  </si>
  <si>
    <t>Empreendimento/Apelido</t>
  </si>
  <si>
    <t>Tipo de Obra (conforme Acórdão 2622/2013 - TCU):</t>
  </si>
  <si>
    <t xml:space="preserve"> - Construção de Rodovias e Ferrovias (também para Recapeamento, Pavimentação e Praças)</t>
  </si>
  <si>
    <t>ATENDE AOS</t>
  </si>
  <si>
    <t>LIMITES RECOMENDADOS</t>
  </si>
  <si>
    <t>ITENS</t>
  </si>
  <si>
    <t>SIGLAS</t>
  </si>
  <si>
    <t>VALORES</t>
  </si>
  <si>
    <t>LIMITES?</t>
  </si>
  <si>
    <t>INFERIOR</t>
  </si>
  <si>
    <t>SUPERIOR</t>
  </si>
  <si>
    <t>TAXA DE RATEIO DA ADMINISTRAÇÃO CENTRAL</t>
  </si>
  <si>
    <t>AC</t>
  </si>
  <si>
    <t>TAXA DE SEGURO E GARANTIA DO EMPREENDIMENTO</t>
  </si>
  <si>
    <t>S+G</t>
  </si>
  <si>
    <t>TAXA DE RISCO</t>
  </si>
  <si>
    <t>R</t>
  </si>
  <si>
    <t>TAXA DE DESPESAS FINANCEIRAS</t>
  </si>
  <si>
    <t>DF</t>
  </si>
  <si>
    <t>TAXA DE LUCRO</t>
  </si>
  <si>
    <t>L</t>
  </si>
  <si>
    <t>TAXA DE TRIBUTOS</t>
  </si>
  <si>
    <t>PIS (geralmente 0,65%)</t>
  </si>
  <si>
    <t>I</t>
  </si>
  <si>
    <t>Variável</t>
  </si>
  <si>
    <t>COFINS (geralmente 3,00%)</t>
  </si>
  <si>
    <t>ISS (legislação municipal)</t>
  </si>
  <si>
    <t>CPRB (INSS)</t>
  </si>
  <si>
    <t>BDI conforme Acórdão 2622/2013 - TCU</t>
  </si>
  <si>
    <t>BDI RESULTANTE</t>
  </si>
  <si>
    <t>FÓRMULA UTILIZADA:</t>
  </si>
  <si>
    <r>
      <t xml:space="preserve">Declaro que, conforme legislação tributária municipal, a </t>
    </r>
    <r>
      <rPr>
        <b/>
        <sz val="10"/>
        <rFont val="Calibri"/>
        <family val="2"/>
      </rPr>
      <t>base de cálculo</t>
    </r>
    <r>
      <rPr>
        <sz val="10"/>
        <rFont val="Calibri"/>
        <family val="2"/>
      </rPr>
      <t xml:space="preserve"> do ISS corresponde a</t>
    </r>
  </si>
  <si>
    <r>
      <t xml:space="preserve">do valor deste tipo de obra e, sobre esta base, incide ISS com </t>
    </r>
    <r>
      <rPr>
        <b/>
        <sz val="10"/>
        <rFont val="Calibri"/>
        <family val="2"/>
      </rPr>
      <t>alíquota</t>
    </r>
    <r>
      <rPr>
        <sz val="10"/>
        <rFont val="Calibri"/>
        <family val="2"/>
      </rPr>
      <t xml:space="preserve"> de</t>
    </r>
  </si>
  <si>
    <t>Observações: A empresa deverá apresentar as Notas de materiais para abatimento da alicota de ISS</t>
  </si>
  <si>
    <t>Responsável Técnico pela Elaboração do Orçamento:</t>
  </si>
  <si>
    <t>Data:</t>
  </si>
  <si>
    <t>PREFEITURA MUNICIPAL DE VARGEM</t>
  </si>
  <si>
    <t>Recapeamento das Ruas Geraldino de Oliveira e Armando Salles de Oliveira</t>
  </si>
  <si>
    <t>RECAPEAMENTO ( Rua Geraldino de Oliveira e Rua Armando Salles de Oliveira )</t>
  </si>
  <si>
    <t>3.0</t>
  </si>
  <si>
    <t xml:space="preserve">RECAPEAMENTO ( Rua Cesarino Raimund ) </t>
  </si>
  <si>
    <t>RECAPEAMENTO ( Rua Julieta Panizza Bartollo)</t>
  </si>
  <si>
    <t>2.2</t>
  </si>
  <si>
    <t>2.3</t>
  </si>
  <si>
    <t>Imprimação betuminosa ligante ( 2 pinturas )</t>
  </si>
  <si>
    <t>LOMBOFAIXA ELEVADA (6,0 x 8,50 x 0.15 m)</t>
  </si>
  <si>
    <t xml:space="preserve">CPOS </t>
  </si>
  <si>
    <t>9704020</t>
  </si>
  <si>
    <t>PAVIMENTAÇÃO ASFÁLTICA</t>
  </si>
  <si>
    <t>3.1</t>
  </si>
  <si>
    <t>PAVIMENTAÇÃO ( Rua Domingos Cardoso de Souza -Bairro do Piúca)</t>
  </si>
  <si>
    <t>L= 3,60</t>
  </si>
  <si>
    <t>3.2</t>
  </si>
  <si>
    <t>PAVIMENTAÇÃO ( Rua Sem denominação -Bairro do Piúca)</t>
  </si>
  <si>
    <t>L= 3,75</t>
  </si>
  <si>
    <t>3.3</t>
  </si>
  <si>
    <t>PAVIMENTAÇÃO ( Rua Sebastião Dias Pereira -Bairro dos Pintos)</t>
  </si>
  <si>
    <t>L= 4,45</t>
  </si>
  <si>
    <t>4.0</t>
  </si>
  <si>
    <t>3.4</t>
  </si>
  <si>
    <t>PAVIMENTAÇÃO ( Rua Adib Demetrius Dauar -Bairro Centro)</t>
  </si>
  <si>
    <t>SERVIÇOS DE RECAPEAMENTO E PAVIMENTAÇÃO  ASFÁLTICO DE DIVERSAS RUAS DO MUNICÍPIO</t>
  </si>
  <si>
    <t>Local :  Rua Geraldino de Oliveira, Rua Armando Salles de Oliveira, Rua Cesarino Raimund, Rua Julieta Panizza Bartollo, Rua Domingos Cardoso de Souza, Rua s/ denominação, Rua Sebastião Dias Pereira e Rua Adib Demetrius Dauar- Bairro Diversos - Vargem/SP</t>
  </si>
  <si>
    <r>
      <t>PREFEITURA DO MUNICÍPIO DE VARGEM</t>
    </r>
    <r>
      <rPr>
        <b/>
        <sz val="16"/>
        <color indexed="8"/>
        <rFont val="Arial"/>
        <family val="2"/>
      </rPr>
      <t xml:space="preserve">                                                                                                    </t>
    </r>
    <r>
      <rPr>
        <b/>
        <sz val="14"/>
        <color indexed="8"/>
        <rFont val="Arial"/>
        <family val="2"/>
      </rPr>
      <t>CRONOGRAMA FÍSICO FINANCEIRO</t>
    </r>
  </si>
  <si>
    <t>Data Base:</t>
  </si>
  <si>
    <t>ENDEREÇO:</t>
  </si>
  <si>
    <t>30 DIAS</t>
  </si>
  <si>
    <t>45 DIAS</t>
  </si>
  <si>
    <r>
      <t xml:space="preserve">Codigo
</t>
    </r>
    <r>
      <rPr>
        <b/>
        <sz val="8"/>
        <color indexed="8"/>
        <rFont val="Arial"/>
        <family val="2"/>
      </rPr>
      <t>Atividad</t>
    </r>
    <r>
      <rPr>
        <b/>
        <sz val="8"/>
        <color indexed="8"/>
        <rFont val="Arial"/>
        <family val="2"/>
      </rPr>
      <t>e</t>
    </r>
    <r>
      <rPr>
        <b/>
        <sz val="8"/>
        <color indexed="8"/>
        <rFont val="Arial"/>
        <family val="2"/>
      </rPr>
      <t xml:space="preserve"> </t>
    </r>
  </si>
  <si>
    <t>Descrição da Atividade</t>
  </si>
  <si>
    <t xml:space="preserve">Valor   Orçado  </t>
  </si>
  <si>
    <t>%</t>
  </si>
  <si>
    <t xml:space="preserve">R$ </t>
  </si>
  <si>
    <t>SERVICOS PRELIMINARES</t>
  </si>
  <si>
    <t>TOTAL DOS SERVIÇOS</t>
  </si>
  <si>
    <t>ACUMULADO</t>
  </si>
  <si>
    <t>BOLETIM 177 - DESONERADO - CPOS</t>
  </si>
  <si>
    <t>BDI - 20,00 %</t>
  </si>
  <si>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BDI = </t>
    </r>
    <r>
      <rPr>
        <sz val="8"/>
        <color indexed="8"/>
        <rFont val="Arial"/>
        <family val="2"/>
      </rPr>
      <t>20,00 %</t>
    </r>
  </si>
  <si>
    <t xml:space="preserve">PAVIMENTAÇÃO ASFÁLTICA </t>
  </si>
  <si>
    <t>LOMBOFAIXAS</t>
  </si>
  <si>
    <t>15 DIAS</t>
  </si>
  <si>
    <t>02.08.050</t>
  </si>
  <si>
    <t>Placa em lona com impressão digital e estrutura de Madeira</t>
  </si>
  <si>
    <t>54.03.240</t>
  </si>
  <si>
    <t>Imprimação betuminosa Impermeabilizante</t>
  </si>
  <si>
    <t>Vargem, 08 de Maio de 2020</t>
  </si>
  <si>
    <t>VARGEM, 08 DE MAIO DE 2020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</si>
</sst>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"/>
    <numFmt numFmtId="173" formatCode="&quot;R$&quot;\ #,##0.00"/>
    <numFmt numFmtId="174" formatCode="[$-416]mmmm\-yy;@"/>
    <numFmt numFmtId="175" formatCode="#,##0.000"/>
    <numFmt numFmtId="176" formatCode="#,##0.0000"/>
    <numFmt numFmtId="177" formatCode="#,###&quot; m³&quot;"/>
    <numFmt numFmtId="178" formatCode="#,###&quot; L/m²&quot;"/>
    <numFmt numFmtId="179" formatCode="#,###&quot; ton.&quot;"/>
    <numFmt numFmtId="180" formatCode="#,###.0&quot; m³&quot;"/>
    <numFmt numFmtId="181" formatCode="#,###.00&quot; m³&quot;"/>
    <numFmt numFmtId="182" formatCode="#,###.##&quot; m³&quot;"/>
    <numFmt numFmtId="183" formatCode="#,###.##&quot; L/m²&quot;"/>
    <numFmt numFmtId="184" formatCode="#,###.##&quot; ton.&quot;"/>
    <numFmt numFmtId="185" formatCode="0.000000"/>
    <numFmt numFmtId="186" formatCode="0.0000"/>
    <numFmt numFmtId="187" formatCode="00\-00\-00"/>
    <numFmt numFmtId="188" formatCode="&quot;R$ &quot;#,##0.00"/>
    <numFmt numFmtId="189" formatCode="0.0%"/>
    <numFmt numFmtId="190" formatCode="&quot;Sim&quot;;&quot;Sim&quot;;&quot;Não&quot;"/>
    <numFmt numFmtId="191" formatCode="&quot;Verdadeiro&quot;;&quot;Verdadeiro&quot;;&quot;Falso&quot;"/>
    <numFmt numFmtId="192" formatCode="&quot;Ativado&quot;;&quot;Ativado&quot;;&quot;Desativado&quot;"/>
    <numFmt numFmtId="193" formatCode="[$€-2]\ #,##0.00_);[Red]\([$€-2]\ #,##0.00\)"/>
    <numFmt numFmtId="194" formatCode="0.000%"/>
    <numFmt numFmtId="195" formatCode="0.000"/>
  </numFmts>
  <fonts count="74">
    <font>
      <sz val="10"/>
      <name val="Arial"/>
      <family val="0"/>
    </font>
    <font>
      <sz val="10"/>
      <color indexed="8"/>
      <name val="MS Sans Serif"/>
      <family val="2"/>
    </font>
    <font>
      <sz val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.85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MS Sans Serif"/>
      <family val="2"/>
    </font>
    <font>
      <b/>
      <sz val="12"/>
      <color indexed="8"/>
      <name val="Times New Roman"/>
      <family val="1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i/>
      <sz val="10"/>
      <color indexed="8"/>
      <name val="Calibri"/>
      <family val="2"/>
    </font>
    <font>
      <sz val="8"/>
      <color indexed="10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8"/>
      <color rgb="FF00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thin"/>
    </border>
    <border>
      <left style="hair"/>
      <right/>
      <top style="hair"/>
      <bottom style="hair"/>
    </border>
    <border>
      <left/>
      <right style="thin"/>
      <top style="hair"/>
      <bottom style="hair"/>
    </border>
    <border>
      <left style="hair"/>
      <right/>
      <top/>
      <bottom/>
    </border>
    <border>
      <left/>
      <right style="thin"/>
      <top style="hair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</borders>
  <cellStyleXfs count="1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11" fillId="3" borderId="0" applyNumberFormat="0" applyBorder="0" applyAlignment="0" applyProtection="0"/>
    <xf numFmtId="0" fontId="47" fillId="4" borderId="0" applyNumberFormat="0" applyBorder="0" applyAlignment="0" applyProtection="0"/>
    <xf numFmtId="0" fontId="11" fillId="5" borderId="0" applyNumberFormat="0" applyBorder="0" applyAlignment="0" applyProtection="0"/>
    <xf numFmtId="0" fontId="47" fillId="6" borderId="0" applyNumberFormat="0" applyBorder="0" applyAlignment="0" applyProtection="0"/>
    <xf numFmtId="0" fontId="11" fillId="7" borderId="0" applyNumberFormat="0" applyBorder="0" applyAlignment="0" applyProtection="0"/>
    <xf numFmtId="0" fontId="47" fillId="8" borderId="0" applyNumberFormat="0" applyBorder="0" applyAlignment="0" applyProtection="0"/>
    <xf numFmtId="0" fontId="11" fillId="9" borderId="0" applyNumberFormat="0" applyBorder="0" applyAlignment="0" applyProtection="0"/>
    <xf numFmtId="0" fontId="47" fillId="10" borderId="0" applyNumberFormat="0" applyBorder="0" applyAlignment="0" applyProtection="0"/>
    <xf numFmtId="0" fontId="11" fillId="11" borderId="0" applyNumberFormat="0" applyBorder="0" applyAlignment="0" applyProtection="0"/>
    <xf numFmtId="0" fontId="47" fillId="12" borderId="0" applyNumberFormat="0" applyBorder="0" applyAlignment="0" applyProtection="0"/>
    <xf numFmtId="0" fontId="11" fillId="13" borderId="0" applyNumberFormat="0" applyBorder="0" applyAlignment="0" applyProtection="0"/>
    <xf numFmtId="0" fontId="47" fillId="14" borderId="0" applyNumberFormat="0" applyBorder="0" applyAlignment="0" applyProtection="0"/>
    <xf numFmtId="0" fontId="11" fillId="15" borderId="0" applyNumberFormat="0" applyBorder="0" applyAlignment="0" applyProtection="0"/>
    <xf numFmtId="0" fontId="47" fillId="16" borderId="0" applyNumberFormat="0" applyBorder="0" applyAlignment="0" applyProtection="0"/>
    <xf numFmtId="0" fontId="11" fillId="17" borderId="0" applyNumberFormat="0" applyBorder="0" applyAlignment="0" applyProtection="0"/>
    <xf numFmtId="0" fontId="47" fillId="18" borderId="0" applyNumberFormat="0" applyBorder="0" applyAlignment="0" applyProtection="0"/>
    <xf numFmtId="0" fontId="11" fillId="19" borderId="0" applyNumberFormat="0" applyBorder="0" applyAlignment="0" applyProtection="0"/>
    <xf numFmtId="0" fontId="47" fillId="20" borderId="0" applyNumberFormat="0" applyBorder="0" applyAlignment="0" applyProtection="0"/>
    <xf numFmtId="0" fontId="11" fillId="9" borderId="0" applyNumberFormat="0" applyBorder="0" applyAlignment="0" applyProtection="0"/>
    <xf numFmtId="0" fontId="47" fillId="21" borderId="0" applyNumberFormat="0" applyBorder="0" applyAlignment="0" applyProtection="0"/>
    <xf numFmtId="0" fontId="11" fillId="15" borderId="0" applyNumberFormat="0" applyBorder="0" applyAlignment="0" applyProtection="0"/>
    <xf numFmtId="0" fontId="47" fillId="22" borderId="0" applyNumberFormat="0" applyBorder="0" applyAlignment="0" applyProtection="0"/>
    <xf numFmtId="0" fontId="11" fillId="23" borderId="0" applyNumberFormat="0" applyBorder="0" applyAlignment="0" applyProtection="0"/>
    <xf numFmtId="0" fontId="48" fillId="24" borderId="0" applyNumberFormat="0" applyBorder="0" applyAlignment="0" applyProtection="0"/>
    <xf numFmtId="0" fontId="12" fillId="25" borderId="0" applyNumberFormat="0" applyBorder="0" applyAlignment="0" applyProtection="0"/>
    <xf numFmtId="0" fontId="48" fillId="26" borderId="0" applyNumberFormat="0" applyBorder="0" applyAlignment="0" applyProtection="0"/>
    <xf numFmtId="0" fontId="12" fillId="17" borderId="0" applyNumberFormat="0" applyBorder="0" applyAlignment="0" applyProtection="0"/>
    <xf numFmtId="0" fontId="48" fillId="27" borderId="0" applyNumberFormat="0" applyBorder="0" applyAlignment="0" applyProtection="0"/>
    <xf numFmtId="0" fontId="12" fillId="19" borderId="0" applyNumberFormat="0" applyBorder="0" applyAlignment="0" applyProtection="0"/>
    <xf numFmtId="0" fontId="48" fillId="28" borderId="0" applyNumberFormat="0" applyBorder="0" applyAlignment="0" applyProtection="0"/>
    <xf numFmtId="0" fontId="12" fillId="29" borderId="0" applyNumberFormat="0" applyBorder="0" applyAlignment="0" applyProtection="0"/>
    <xf numFmtId="0" fontId="48" fillId="30" borderId="0" applyNumberFormat="0" applyBorder="0" applyAlignment="0" applyProtection="0"/>
    <xf numFmtId="0" fontId="12" fillId="31" borderId="0" applyNumberFormat="0" applyBorder="0" applyAlignment="0" applyProtection="0"/>
    <xf numFmtId="0" fontId="48" fillId="32" borderId="0" applyNumberFormat="0" applyBorder="0" applyAlignment="0" applyProtection="0"/>
    <xf numFmtId="0" fontId="12" fillId="33" borderId="0" applyNumberFormat="0" applyBorder="0" applyAlignment="0" applyProtection="0"/>
    <xf numFmtId="0" fontId="49" fillId="34" borderId="0" applyNumberFormat="0" applyBorder="0" applyAlignment="0" applyProtection="0"/>
    <xf numFmtId="0" fontId="13" fillId="7" borderId="0" applyNumberFormat="0" applyBorder="0" applyAlignment="0" applyProtection="0"/>
    <xf numFmtId="0" fontId="50" fillId="35" borderId="1" applyNumberFormat="0" applyAlignment="0" applyProtection="0"/>
    <xf numFmtId="0" fontId="14" fillId="36" borderId="2" applyNumberFormat="0" applyAlignment="0" applyProtection="0"/>
    <xf numFmtId="0" fontId="51" fillId="37" borderId="3" applyNumberFormat="0" applyAlignment="0" applyProtection="0"/>
    <xf numFmtId="0" fontId="15" fillId="38" borderId="4" applyNumberFormat="0" applyAlignment="0" applyProtection="0"/>
    <xf numFmtId="0" fontId="52" fillId="0" borderId="5" applyNumberFormat="0" applyFill="0" applyAlignment="0" applyProtection="0"/>
    <xf numFmtId="0" fontId="16" fillId="0" borderId="6" applyNumberFormat="0" applyFill="0" applyAlignment="0" applyProtection="0"/>
    <xf numFmtId="0" fontId="48" fillId="39" borderId="0" applyNumberFormat="0" applyBorder="0" applyAlignment="0" applyProtection="0"/>
    <xf numFmtId="0" fontId="12" fillId="40" borderId="0" applyNumberFormat="0" applyBorder="0" applyAlignment="0" applyProtection="0"/>
    <xf numFmtId="0" fontId="48" fillId="41" borderId="0" applyNumberFormat="0" applyBorder="0" applyAlignment="0" applyProtection="0"/>
    <xf numFmtId="0" fontId="12" fillId="42" borderId="0" applyNumberFormat="0" applyBorder="0" applyAlignment="0" applyProtection="0"/>
    <xf numFmtId="0" fontId="48" fillId="43" borderId="0" applyNumberFormat="0" applyBorder="0" applyAlignment="0" applyProtection="0"/>
    <xf numFmtId="0" fontId="12" fillId="44" borderId="0" applyNumberFormat="0" applyBorder="0" applyAlignment="0" applyProtection="0"/>
    <xf numFmtId="0" fontId="48" fillId="45" borderId="0" applyNumberFormat="0" applyBorder="0" applyAlignment="0" applyProtection="0"/>
    <xf numFmtId="0" fontId="12" fillId="29" borderId="0" applyNumberFormat="0" applyBorder="0" applyAlignment="0" applyProtection="0"/>
    <xf numFmtId="0" fontId="48" fillId="46" borderId="0" applyNumberFormat="0" applyBorder="0" applyAlignment="0" applyProtection="0"/>
    <xf numFmtId="0" fontId="12" fillId="31" borderId="0" applyNumberFormat="0" applyBorder="0" applyAlignment="0" applyProtection="0"/>
    <xf numFmtId="0" fontId="48" fillId="47" borderId="0" applyNumberFormat="0" applyBorder="0" applyAlignment="0" applyProtection="0"/>
    <xf numFmtId="0" fontId="12" fillId="48" borderId="0" applyNumberFormat="0" applyBorder="0" applyAlignment="0" applyProtection="0"/>
    <xf numFmtId="0" fontId="53" fillId="49" borderId="1" applyNumberFormat="0" applyAlignment="0" applyProtection="0"/>
    <xf numFmtId="0" fontId="17" fillId="13" borderId="2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50" borderId="0" applyNumberFormat="0" applyBorder="0" applyAlignment="0" applyProtection="0"/>
    <xf numFmtId="0" fontId="18" fillId="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6" fillId="0" borderId="0" applyNumberFormat="0" applyFill="0" applyBorder="0" applyProtection="0">
      <alignment vertical="center"/>
    </xf>
    <xf numFmtId="0" fontId="57" fillId="51" borderId="0" applyNumberFormat="0" applyBorder="0" applyAlignment="0" applyProtection="0"/>
    <xf numFmtId="0" fontId="19" fillId="5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8" fillId="35" borderId="9" applyNumberFormat="0" applyAlignment="0" applyProtection="0"/>
    <xf numFmtId="0" fontId="20" fillId="36" borderId="10" applyNumberFormat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63" fillId="0" borderId="13" applyNumberFormat="0" applyFill="0" applyAlignment="0" applyProtection="0"/>
    <xf numFmtId="0" fontId="25" fillId="0" borderId="14" applyNumberFormat="0" applyFill="0" applyAlignment="0" applyProtection="0"/>
    <xf numFmtId="0" fontId="64" fillId="0" borderId="15" applyNumberFormat="0" applyFill="0" applyAlignment="0" applyProtection="0"/>
    <xf numFmtId="0" fontId="26" fillId="0" borderId="16" applyNumberFormat="0" applyFill="0" applyAlignment="0" applyProtection="0"/>
    <xf numFmtId="0" fontId="6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5" fillId="0" borderId="17" applyNumberFormat="0" applyFill="0" applyAlignment="0" applyProtection="0"/>
    <xf numFmtId="0" fontId="27" fillId="0" borderId="18" applyNumberFormat="0" applyFill="0" applyAlignment="0" applyProtection="0"/>
    <xf numFmtId="171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0" xfId="85">
      <alignment/>
      <protection/>
    </xf>
    <xf numFmtId="0" fontId="1" fillId="0" borderId="0" xfId="85" applyAlignment="1">
      <alignment vertical="center"/>
      <protection/>
    </xf>
    <xf numFmtId="0" fontId="3" fillId="0" borderId="0" xfId="85" applyFont="1">
      <alignment/>
      <protection/>
    </xf>
    <xf numFmtId="49" fontId="1" fillId="0" borderId="0" xfId="85" applyNumberFormat="1" applyAlignment="1">
      <alignment horizontal="center"/>
      <protection/>
    </xf>
    <xf numFmtId="4" fontId="1" fillId="0" borderId="0" xfId="85" applyNumberFormat="1">
      <alignment/>
      <protection/>
    </xf>
    <xf numFmtId="0" fontId="1" fillId="0" borderId="0" xfId="85" applyAlignment="1">
      <alignment horizontal="left" wrapText="1"/>
      <protection/>
    </xf>
    <xf numFmtId="4" fontId="1" fillId="0" borderId="0" xfId="118" applyNumberFormat="1" applyFont="1" applyAlignment="1">
      <alignment horizontal="right" vertical="center"/>
    </xf>
    <xf numFmtId="0" fontId="3" fillId="0" borderId="0" xfId="85" applyFont="1" applyFill="1">
      <alignment/>
      <protection/>
    </xf>
    <xf numFmtId="49" fontId="4" fillId="0" borderId="19" xfId="85" applyNumberFormat="1" applyFont="1" applyBorder="1" applyAlignment="1">
      <alignment horizontal="left" vertical="center" wrapText="1"/>
      <protection/>
    </xf>
    <xf numFmtId="4" fontId="3" fillId="0" borderId="0" xfId="85" applyNumberFormat="1" applyFont="1">
      <alignment/>
      <protection/>
    </xf>
    <xf numFmtId="0" fontId="3" fillId="0" borderId="0" xfId="85" applyFont="1" applyAlignment="1">
      <alignment horizontal="center"/>
      <protection/>
    </xf>
    <xf numFmtId="0" fontId="8" fillId="27" borderId="20" xfId="85" applyFont="1" applyFill="1" applyBorder="1" applyAlignment="1">
      <alignment horizontal="left" wrapText="1"/>
      <protection/>
    </xf>
    <xf numFmtId="0" fontId="8" fillId="27" borderId="21" xfId="85" applyFont="1" applyFill="1" applyBorder="1" applyAlignment="1">
      <alignment horizontal="left" wrapText="1"/>
      <protection/>
    </xf>
    <xf numFmtId="0" fontId="3" fillId="0" borderId="22" xfId="85" applyFont="1" applyBorder="1" applyAlignment="1">
      <alignment horizontal="center" vertical="center" wrapText="1"/>
      <protection/>
    </xf>
    <xf numFmtId="0" fontId="3" fillId="0" borderId="0" xfId="85" applyFont="1" applyBorder="1" applyAlignment="1">
      <alignment horizontal="center" vertical="center" wrapText="1"/>
      <protection/>
    </xf>
    <xf numFmtId="0" fontId="3" fillId="0" borderId="23" xfId="85" applyFont="1" applyBorder="1" applyAlignment="1">
      <alignment horizontal="center" vertical="center" wrapText="1"/>
      <protection/>
    </xf>
    <xf numFmtId="0" fontId="3" fillId="0" borderId="19" xfId="85" applyFont="1" applyBorder="1" applyAlignment="1">
      <alignment horizontal="center" vertical="center" wrapText="1"/>
      <protection/>
    </xf>
    <xf numFmtId="0" fontId="4" fillId="0" borderId="0" xfId="85" applyFont="1" applyBorder="1" applyAlignment="1">
      <alignment horizontal="left" vertical="center" wrapText="1"/>
      <protection/>
    </xf>
    <xf numFmtId="0" fontId="5" fillId="0" borderId="0" xfId="85" applyFont="1" applyBorder="1" applyAlignment="1">
      <alignment horizontal="left" vertical="center" wrapText="1"/>
      <protection/>
    </xf>
    <xf numFmtId="0" fontId="1" fillId="0" borderId="0" xfId="85" applyAlignment="1">
      <alignment horizontal="center"/>
      <protection/>
    </xf>
    <xf numFmtId="49" fontId="4" fillId="0" borderId="24" xfId="85" applyNumberFormat="1" applyFont="1" applyBorder="1" applyAlignment="1">
      <alignment horizontal="center" vertical="center" wrapText="1"/>
      <protection/>
    </xf>
    <xf numFmtId="49" fontId="4" fillId="0" borderId="0" xfId="85" applyNumberFormat="1" applyFont="1" applyBorder="1" applyAlignment="1">
      <alignment horizontal="center" vertical="center" wrapText="1"/>
      <protection/>
    </xf>
    <xf numFmtId="49" fontId="4" fillId="0" borderId="0" xfId="85" applyNumberFormat="1" applyFont="1" applyBorder="1" applyAlignment="1">
      <alignment horizontal="right" vertical="center" wrapText="1"/>
      <protection/>
    </xf>
    <xf numFmtId="0" fontId="1" fillId="0" borderId="0" xfId="85" applyBorder="1">
      <alignment/>
      <protection/>
    </xf>
    <xf numFmtId="4" fontId="3" fillId="0" borderId="0" xfId="85" applyNumberFormat="1" applyFont="1" applyBorder="1">
      <alignment/>
      <protection/>
    </xf>
    <xf numFmtId="171" fontId="1" fillId="0" borderId="0" xfId="118" applyFont="1" applyBorder="1" applyAlignment="1">
      <alignment horizontal="left" wrapText="1"/>
    </xf>
    <xf numFmtId="4" fontId="1" fillId="0" borderId="0" xfId="85" applyNumberFormat="1" applyBorder="1" applyAlignment="1">
      <alignment horizontal="right"/>
      <protection/>
    </xf>
    <xf numFmtId="173" fontId="1" fillId="0" borderId="0" xfId="85" applyNumberFormat="1">
      <alignment/>
      <protection/>
    </xf>
    <xf numFmtId="0" fontId="1" fillId="0" borderId="0" xfId="85" applyFont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25" xfId="0" applyNumberFormat="1" applyFont="1" applyFill="1" applyBorder="1" applyAlignment="1">
      <alignment horizontal="left" vertical="center"/>
    </xf>
    <xf numFmtId="0" fontId="33" fillId="0" borderId="26" xfId="0" applyNumberFormat="1" applyFont="1" applyFill="1" applyBorder="1" applyAlignment="1">
      <alignment horizontal="left" vertical="center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center"/>
    </xf>
    <xf numFmtId="0" fontId="32" fillId="0" borderId="0" xfId="0" applyNumberFormat="1" applyFont="1" applyFill="1" applyAlignment="1">
      <alignment horizontal="left" vertical="center"/>
    </xf>
    <xf numFmtId="0" fontId="32" fillId="0" borderId="0" xfId="0" applyNumberFormat="1" applyFont="1" applyFill="1" applyAlignment="1">
      <alignment horizontal="left" vertical="center" wrapText="1"/>
    </xf>
    <xf numFmtId="0" fontId="32" fillId="0" borderId="0" xfId="0" applyNumberFormat="1" applyFont="1" applyFill="1" applyAlignment="1" applyProtection="1">
      <alignment horizontal="left" vertical="center" wrapText="1"/>
      <protection hidden="1"/>
    </xf>
    <xf numFmtId="0" fontId="32" fillId="0" borderId="0" xfId="0" applyNumberFormat="1" applyFont="1" applyFill="1" applyAlignment="1" applyProtection="1">
      <alignment horizontal="left" vertical="center"/>
      <protection/>
    </xf>
    <xf numFmtId="0" fontId="32" fillId="0" borderId="27" xfId="0" applyNumberFormat="1" applyFont="1" applyFill="1" applyBorder="1" applyAlignment="1">
      <alignment horizontal="left" vertical="center"/>
    </xf>
    <xf numFmtId="0" fontId="33" fillId="0" borderId="28" xfId="0" applyNumberFormat="1" applyFont="1" applyFill="1" applyBorder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Fill="1" applyAlignment="1">
      <alignment horizontal="left" vertical="center"/>
    </xf>
    <xf numFmtId="0" fontId="30" fillId="0" borderId="0" xfId="0" applyFont="1" applyAlignment="1">
      <alignment horizontal="left" vertical="top"/>
    </xf>
    <xf numFmtId="0" fontId="32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Continuous" vertic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2" fillId="0" borderId="0" xfId="0" applyFont="1" applyFill="1" applyBorder="1" applyAlignment="1">
      <alignment horizontal="center" vertical="center"/>
    </xf>
    <xf numFmtId="0" fontId="30" fillId="0" borderId="32" xfId="0" applyFont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Fill="1" applyBorder="1" applyAlignment="1">
      <alignment horizontal="center"/>
    </xf>
    <xf numFmtId="10" fontId="30" fillId="52" borderId="34" xfId="96" applyNumberFormat="1" applyFont="1" applyFill="1" applyBorder="1" applyAlignment="1" applyProtection="1">
      <alignment/>
      <protection locked="0"/>
    </xf>
    <xf numFmtId="0" fontId="35" fillId="0" borderId="0" xfId="0" applyFont="1" applyAlignment="1">
      <alignment horizontal="center"/>
    </xf>
    <xf numFmtId="10" fontId="36" fillId="7" borderId="35" xfId="0" applyNumberFormat="1" applyFont="1" applyFill="1" applyBorder="1" applyAlignment="1">
      <alignment horizontal="center" vertical="center"/>
    </xf>
    <xf numFmtId="10" fontId="36" fillId="7" borderId="36" xfId="0" applyNumberFormat="1" applyFont="1" applyFill="1" applyBorder="1" applyAlignment="1">
      <alignment horizontal="center" vertical="center"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Fill="1" applyBorder="1" applyAlignment="1">
      <alignment horizontal="center"/>
    </xf>
    <xf numFmtId="10" fontId="30" fillId="52" borderId="39" xfId="96" applyNumberFormat="1" applyFont="1" applyFill="1" applyBorder="1" applyAlignment="1" applyProtection="1">
      <alignment/>
      <protection locked="0"/>
    </xf>
    <xf numFmtId="10" fontId="36" fillId="7" borderId="34" xfId="0" applyNumberFormat="1" applyFont="1" applyFill="1" applyBorder="1" applyAlignment="1">
      <alignment horizontal="center" vertical="center"/>
    </xf>
    <xf numFmtId="10" fontId="36" fillId="7" borderId="40" xfId="0" applyNumberFormat="1" applyFont="1" applyFill="1" applyBorder="1" applyAlignment="1">
      <alignment horizontal="center" vertical="center"/>
    </xf>
    <xf numFmtId="0" fontId="30" fillId="0" borderId="41" xfId="0" applyFont="1" applyBorder="1" applyAlignment="1">
      <alignment/>
    </xf>
    <xf numFmtId="0" fontId="30" fillId="0" borderId="42" xfId="0" applyFont="1" applyBorder="1" applyAlignment="1">
      <alignment/>
    </xf>
    <xf numFmtId="10" fontId="30" fillId="52" borderId="43" xfId="96" applyNumberFormat="1" applyFont="1" applyFill="1" applyBorder="1" applyAlignment="1" applyProtection="1">
      <alignment/>
      <protection locked="0"/>
    </xf>
    <xf numFmtId="10" fontId="36" fillId="7" borderId="28" xfId="0" applyNumberFormat="1" applyFont="1" applyFill="1" applyBorder="1" applyAlignment="1">
      <alignment horizontal="center" vertical="center"/>
    </xf>
    <xf numFmtId="10" fontId="36" fillId="7" borderId="44" xfId="0" applyNumberFormat="1" applyFont="1" applyFill="1" applyBorder="1" applyAlignment="1">
      <alignment horizontal="center" vertical="center"/>
    </xf>
    <xf numFmtId="0" fontId="30" fillId="0" borderId="45" xfId="0" applyFont="1" applyBorder="1" applyAlignment="1">
      <alignment/>
    </xf>
    <xf numFmtId="0" fontId="30" fillId="0" borderId="46" xfId="0" applyFont="1" applyBorder="1" applyAlignment="1">
      <alignment/>
    </xf>
    <xf numFmtId="0" fontId="30" fillId="0" borderId="27" xfId="0" applyFont="1" applyFill="1" applyBorder="1" applyAlignment="1">
      <alignment horizontal="center"/>
    </xf>
    <xf numFmtId="0" fontId="30" fillId="0" borderId="25" xfId="0" applyFont="1" applyBorder="1" applyAlignment="1">
      <alignment/>
    </xf>
    <xf numFmtId="10" fontId="30" fillId="0" borderId="39" xfId="96" applyNumberFormat="1" applyFont="1" applyFill="1" applyBorder="1" applyAlignment="1" applyProtection="1">
      <alignment/>
      <protection/>
    </xf>
    <xf numFmtId="0" fontId="30" fillId="0" borderId="47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8" xfId="0" applyFont="1" applyBorder="1" applyAlignment="1">
      <alignment/>
    </xf>
    <xf numFmtId="10" fontId="30" fillId="0" borderId="43" xfId="96" applyNumberFormat="1" applyFont="1" applyFill="1" applyBorder="1" applyAlignment="1" applyProtection="1">
      <alignment horizontal="right"/>
      <protection/>
    </xf>
    <xf numFmtId="0" fontId="30" fillId="0" borderId="30" xfId="0" applyFont="1" applyBorder="1" applyAlignment="1">
      <alignment/>
    </xf>
    <xf numFmtId="10" fontId="30" fillId="0" borderId="31" xfId="96" applyNumberFormat="1" applyFont="1" applyFill="1" applyBorder="1" applyAlignment="1">
      <alignment/>
    </xf>
    <xf numFmtId="10" fontId="36" fillId="7" borderId="31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/>
    </xf>
    <xf numFmtId="0" fontId="31" fillId="0" borderId="30" xfId="0" applyFont="1" applyFill="1" applyBorder="1" applyAlignment="1">
      <alignment/>
    </xf>
    <xf numFmtId="10" fontId="31" fillId="0" borderId="31" xfId="96" applyNumberFormat="1" applyFont="1" applyFill="1" applyBorder="1" applyAlignment="1">
      <alignment/>
    </xf>
    <xf numFmtId="10" fontId="36" fillId="0" borderId="0" xfId="0" applyNumberFormat="1" applyFont="1" applyFill="1" applyBorder="1" applyAlignment="1">
      <alignment horizontal="centerContinuous" vertical="center"/>
    </xf>
    <xf numFmtId="0" fontId="30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10" fontId="38" fillId="52" borderId="0" xfId="0" applyNumberFormat="1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right" vertical="center" wrapText="1"/>
      <protection/>
    </xf>
    <xf numFmtId="0" fontId="40" fillId="0" borderId="0" xfId="0" applyFont="1" applyFill="1" applyAlignment="1" applyProtection="1">
      <alignment horizontal="right" vertical="center" wrapText="1"/>
      <protection/>
    </xf>
    <xf numFmtId="10" fontId="38" fillId="0" borderId="0" xfId="0" applyNumberFormat="1" applyFont="1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center" vertical="center"/>
      <protection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30" fillId="0" borderId="0" xfId="0" applyFont="1" applyFill="1" applyAlignment="1">
      <alignment horizontal="right"/>
    </xf>
    <xf numFmtId="14" fontId="38" fillId="52" borderId="0" xfId="0" applyNumberFormat="1" applyFont="1" applyFill="1" applyAlignment="1" applyProtection="1">
      <alignment horizontal="left" vertical="center" wrapText="1"/>
      <protection locked="0"/>
    </xf>
    <xf numFmtId="49" fontId="3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10" fontId="0" fillId="0" borderId="0" xfId="96" applyNumberFormat="1" applyFont="1" applyAlignment="1">
      <alignment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0" fontId="30" fillId="0" borderId="0" xfId="96" applyNumberFormat="1" applyFont="1" applyAlignment="1">
      <alignment horizontal="center" vertical="center"/>
    </xf>
    <xf numFmtId="10" fontId="30" fillId="0" borderId="0" xfId="0" applyNumberFormat="1" applyFont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49" xfId="0" applyFont="1" applyBorder="1" applyAlignment="1">
      <alignment vertical="center" wrapText="1"/>
    </xf>
    <xf numFmtId="0" fontId="21" fillId="0" borderId="49" xfId="0" applyFont="1" applyBorder="1" applyAlignment="1">
      <alignment vertical="center"/>
    </xf>
    <xf numFmtId="43" fontId="1" fillId="0" borderId="0" xfId="85" applyNumberFormat="1">
      <alignment/>
      <protection/>
    </xf>
    <xf numFmtId="10" fontId="1" fillId="0" borderId="0" xfId="96" applyNumberFormat="1" applyFont="1" applyAlignment="1">
      <alignment vertical="center"/>
    </xf>
    <xf numFmtId="171" fontId="3" fillId="0" borderId="0" xfId="118" applyFont="1" applyAlignment="1">
      <alignment horizontal="center"/>
    </xf>
    <xf numFmtId="171" fontId="1" fillId="0" borderId="0" xfId="118" applyFont="1" applyAlignment="1">
      <alignment horizontal="center"/>
    </xf>
    <xf numFmtId="43" fontId="1" fillId="0" borderId="0" xfId="85" applyNumberFormat="1" applyAlignment="1">
      <alignment horizontal="center"/>
      <protection/>
    </xf>
    <xf numFmtId="0" fontId="4" fillId="0" borderId="50" xfId="85" applyFont="1" applyFill="1" applyBorder="1" applyAlignment="1">
      <alignment horizontal="center"/>
      <protection/>
    </xf>
    <xf numFmtId="49" fontId="4" fillId="0" borderId="31" xfId="85" applyNumberFormat="1" applyFont="1" applyFill="1" applyBorder="1" applyAlignment="1">
      <alignment horizontal="center"/>
      <protection/>
    </xf>
    <xf numFmtId="0" fontId="4" fillId="0" borderId="31" xfId="85" applyFont="1" applyFill="1" applyBorder="1" applyAlignment="1">
      <alignment wrapText="1"/>
      <protection/>
    </xf>
    <xf numFmtId="0" fontId="4" fillId="0" borderId="31" xfId="85" applyFont="1" applyFill="1" applyBorder="1" applyAlignment="1">
      <alignment horizontal="center"/>
      <protection/>
    </xf>
    <xf numFmtId="4" fontId="4" fillId="0" borderId="31" xfId="85" applyNumberFormat="1" applyFont="1" applyFill="1" applyBorder="1">
      <alignment/>
      <protection/>
    </xf>
    <xf numFmtId="4" fontId="4" fillId="0" borderId="51" xfId="85" applyNumberFormat="1" applyFont="1" applyFill="1" applyBorder="1">
      <alignment/>
      <protection/>
    </xf>
    <xf numFmtId="0" fontId="4" fillId="55" borderId="50" xfId="85" applyFont="1" applyFill="1" applyBorder="1" applyAlignment="1">
      <alignment horizontal="center"/>
      <protection/>
    </xf>
    <xf numFmtId="49" fontId="4" fillId="55" borderId="31" xfId="85" applyNumberFormat="1" applyFont="1" applyFill="1" applyBorder="1" applyAlignment="1">
      <alignment horizontal="center"/>
      <protection/>
    </xf>
    <xf numFmtId="0" fontId="4" fillId="55" borderId="31" xfId="85" applyFont="1" applyFill="1" applyBorder="1" applyAlignment="1">
      <alignment wrapText="1"/>
      <protection/>
    </xf>
    <xf numFmtId="0" fontId="4" fillId="55" borderId="31" xfId="85" applyFont="1" applyFill="1" applyBorder="1" applyAlignment="1">
      <alignment horizontal="center"/>
      <protection/>
    </xf>
    <xf numFmtId="4" fontId="4" fillId="55" borderId="31" xfId="85" applyNumberFormat="1" applyFont="1" applyFill="1" applyBorder="1">
      <alignment/>
      <protection/>
    </xf>
    <xf numFmtId="4" fontId="4" fillId="55" borderId="51" xfId="85" applyNumberFormat="1" applyFont="1" applyFill="1" applyBorder="1">
      <alignment/>
      <protection/>
    </xf>
    <xf numFmtId="0" fontId="5" fillId="0" borderId="50" xfId="85" applyFont="1" applyBorder="1" applyAlignment="1">
      <alignment horizontal="center" vertical="center"/>
      <protection/>
    </xf>
    <xf numFmtId="49" fontId="5" fillId="0" borderId="31" xfId="85" applyNumberFormat="1" applyFont="1" applyBorder="1" applyAlignment="1">
      <alignment horizontal="center" vertical="center"/>
      <protection/>
    </xf>
    <xf numFmtId="0" fontId="5" fillId="0" borderId="31" xfId="85" applyFont="1" applyBorder="1" applyAlignment="1">
      <alignment horizontal="left" vertical="center" wrapText="1"/>
      <protection/>
    </xf>
    <xf numFmtId="0" fontId="5" fillId="0" borderId="31" xfId="85" applyFont="1" applyBorder="1" applyAlignment="1">
      <alignment horizontal="center" vertical="center" wrapText="1"/>
      <protection/>
    </xf>
    <xf numFmtId="4" fontId="5" fillId="0" borderId="31" xfId="85" applyNumberFormat="1" applyFont="1" applyBorder="1" applyAlignment="1">
      <alignment horizontal="right" vertical="center"/>
      <protection/>
    </xf>
    <xf numFmtId="171" fontId="5" fillId="0" borderId="31" xfId="118" applyFont="1" applyBorder="1" applyAlignment="1">
      <alignment horizontal="left" wrapText="1"/>
    </xf>
    <xf numFmtId="4" fontId="5" fillId="0" borderId="51" xfId="85" applyNumberFormat="1" applyFont="1" applyBorder="1" applyAlignment="1">
      <alignment horizontal="right" vertical="center"/>
      <protection/>
    </xf>
    <xf numFmtId="0" fontId="5" fillId="55" borderId="50" xfId="85" applyFont="1" applyFill="1" applyBorder="1" applyAlignment="1">
      <alignment horizontal="center" vertical="center"/>
      <protection/>
    </xf>
    <xf numFmtId="0" fontId="5" fillId="55" borderId="31" xfId="85" applyFont="1" applyFill="1" applyBorder="1" applyAlignment="1">
      <alignment horizontal="center" vertical="center" wrapText="1"/>
      <protection/>
    </xf>
    <xf numFmtId="4" fontId="5" fillId="55" borderId="31" xfId="85" applyNumberFormat="1" applyFont="1" applyFill="1" applyBorder="1" applyAlignment="1">
      <alignment horizontal="right" vertical="center"/>
      <protection/>
    </xf>
    <xf numFmtId="0" fontId="5" fillId="0" borderId="31" xfId="85" applyFont="1" applyFill="1" applyBorder="1" applyAlignment="1">
      <alignment horizontal="left" vertical="center" wrapText="1"/>
      <protection/>
    </xf>
    <xf numFmtId="0" fontId="5" fillId="0" borderId="31" xfId="85" applyFont="1" applyBorder="1" applyAlignment="1">
      <alignment horizontal="center" wrapText="1"/>
      <protection/>
    </xf>
    <xf numFmtId="4" fontId="5" fillId="0" borderId="31" xfId="85" applyNumberFormat="1" applyFont="1" applyBorder="1" applyAlignment="1">
      <alignment horizontal="right"/>
      <protection/>
    </xf>
    <xf numFmtId="4" fontId="5" fillId="0" borderId="51" xfId="85" applyNumberFormat="1" applyFont="1" applyBorder="1" applyAlignment="1">
      <alignment horizontal="right"/>
      <protection/>
    </xf>
    <xf numFmtId="173" fontId="5" fillId="0" borderId="31" xfId="85" applyNumberFormat="1" applyFont="1" applyBorder="1" applyAlignment="1">
      <alignment horizontal="left" vertical="center" wrapText="1"/>
      <protection/>
    </xf>
    <xf numFmtId="0" fontId="5" fillId="0" borderId="50" xfId="85" applyFont="1" applyBorder="1" applyAlignment="1">
      <alignment horizontal="center" vertical="center" wrapText="1"/>
      <protection/>
    </xf>
    <xf numFmtId="0" fontId="5" fillId="0" borderId="31" xfId="85" applyFont="1" applyBorder="1" applyAlignment="1">
      <alignment wrapText="1"/>
      <protection/>
    </xf>
    <xf numFmtId="0" fontId="5" fillId="0" borderId="52" xfId="85" applyFont="1" applyBorder="1">
      <alignment/>
      <protection/>
    </xf>
    <xf numFmtId="0" fontId="5" fillId="0" borderId="53" xfId="85" applyFont="1" applyBorder="1" applyAlignment="1">
      <alignment horizontal="center" vertical="center" wrapText="1"/>
      <protection/>
    </xf>
    <xf numFmtId="4" fontId="5" fillId="0" borderId="53" xfId="85" applyNumberFormat="1" applyFont="1" applyBorder="1" applyAlignment="1">
      <alignment horizontal="right" vertical="center"/>
      <protection/>
    </xf>
    <xf numFmtId="171" fontId="5" fillId="0" borderId="54" xfId="118" applyFont="1" applyBorder="1" applyAlignment="1">
      <alignment horizontal="left" wrapText="1"/>
    </xf>
    <xf numFmtId="0" fontId="5" fillId="0" borderId="0" xfId="85" applyFont="1">
      <alignment/>
      <protection/>
    </xf>
    <xf numFmtId="49" fontId="5" fillId="0" borderId="0" xfId="85" applyNumberFormat="1" applyFont="1" applyAlignment="1">
      <alignment horizontal="center"/>
      <protection/>
    </xf>
    <xf numFmtId="0" fontId="5" fillId="0" borderId="0" xfId="85" applyFont="1" applyAlignment="1">
      <alignment horizontal="left" wrapText="1"/>
      <protection/>
    </xf>
    <xf numFmtId="0" fontId="4" fillId="0" borderId="0" xfId="85" applyFont="1" applyAlignment="1">
      <alignment horizontal="center"/>
      <protection/>
    </xf>
    <xf numFmtId="171" fontId="1" fillId="0" borderId="0" xfId="118" applyFont="1" applyAlignment="1">
      <alignment horizontal="center"/>
    </xf>
    <xf numFmtId="171" fontId="1" fillId="0" borderId="0" xfId="118" applyFont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65" fillId="0" borderId="31" xfId="0" applyFont="1" applyBorder="1" applyAlignment="1">
      <alignment horizontal="center"/>
    </xf>
    <xf numFmtId="9" fontId="0" fillId="0" borderId="31" xfId="96" applyFont="1" applyBorder="1" applyAlignment="1">
      <alignment/>
    </xf>
    <xf numFmtId="171" fontId="0" fillId="0" borderId="31" xfId="118" applyFont="1" applyBorder="1" applyAlignment="1">
      <alignment/>
    </xf>
    <xf numFmtId="0" fontId="66" fillId="0" borderId="0" xfId="0" applyFont="1" applyAlignment="1">
      <alignment/>
    </xf>
    <xf numFmtId="0" fontId="67" fillId="0" borderId="29" xfId="0" applyFont="1" applyBorder="1" applyAlignment="1">
      <alignment/>
    </xf>
    <xf numFmtId="0" fontId="68" fillId="0" borderId="30" xfId="0" applyFont="1" applyBorder="1" applyAlignment="1">
      <alignment/>
    </xf>
    <xf numFmtId="0" fontId="68" fillId="0" borderId="55" xfId="0" applyFont="1" applyBorder="1" applyAlignment="1">
      <alignment/>
    </xf>
    <xf numFmtId="43" fontId="69" fillId="0" borderId="31" xfId="0" applyNumberFormat="1" applyFont="1" applyBorder="1" applyAlignment="1">
      <alignment/>
    </xf>
    <xf numFmtId="0" fontId="66" fillId="0" borderId="31" xfId="0" applyFont="1" applyBorder="1" applyAlignment="1">
      <alignment/>
    </xf>
    <xf numFmtId="10" fontId="65" fillId="0" borderId="31" xfId="96" applyNumberFormat="1" applyFont="1" applyBorder="1" applyAlignment="1">
      <alignment/>
    </xf>
    <xf numFmtId="43" fontId="65" fillId="0" borderId="31" xfId="0" applyNumberFormat="1" applyFont="1" applyBorder="1" applyAlignment="1">
      <alignment/>
    </xf>
    <xf numFmtId="10" fontId="65" fillId="0" borderId="31" xfId="0" applyNumberFormat="1" applyFont="1" applyBorder="1" applyAlignment="1">
      <alignment/>
    </xf>
    <xf numFmtId="2" fontId="1" fillId="0" borderId="0" xfId="85" applyNumberFormat="1">
      <alignment/>
      <protection/>
    </xf>
    <xf numFmtId="4" fontId="5" fillId="0" borderId="31" xfId="85" applyNumberFormat="1" applyFont="1" applyFill="1" applyBorder="1" applyAlignment="1">
      <alignment horizontal="right" vertical="center"/>
      <protection/>
    </xf>
    <xf numFmtId="49" fontId="5" fillId="0" borderId="31" xfId="85" applyNumberFormat="1" applyFont="1" applyFill="1" applyBorder="1" applyAlignment="1">
      <alignment horizontal="center" vertical="center"/>
      <protection/>
    </xf>
    <xf numFmtId="0" fontId="70" fillId="0" borderId="0" xfId="0" applyFont="1" applyBorder="1" applyAlignment="1">
      <alignment horizontal="left" vertical="top"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70" fillId="0" borderId="0" xfId="0" applyFont="1" applyBorder="1" applyAlignment="1">
      <alignment horizontal="left" vertical="center"/>
    </xf>
    <xf numFmtId="0" fontId="71" fillId="0" borderId="31" xfId="0" applyFont="1" applyBorder="1" applyAlignment="1">
      <alignment horizontal="center"/>
    </xf>
    <xf numFmtId="0" fontId="5" fillId="0" borderId="0" xfId="85" applyFont="1" applyAlignment="1">
      <alignment horizontal="center"/>
      <protection/>
    </xf>
    <xf numFmtId="4" fontId="7" fillId="55" borderId="56" xfId="118" applyNumberFormat="1" applyFont="1" applyFill="1" applyBorder="1" applyAlignment="1">
      <alignment horizontal="center" vertical="center"/>
    </xf>
    <xf numFmtId="4" fontId="7" fillId="55" borderId="28" xfId="118" applyNumberFormat="1" applyFont="1" applyFill="1" applyBorder="1" applyAlignment="1">
      <alignment horizontal="center" vertical="center"/>
    </xf>
    <xf numFmtId="49" fontId="7" fillId="55" borderId="57" xfId="85" applyNumberFormat="1" applyFont="1" applyFill="1" applyBorder="1" applyAlignment="1">
      <alignment horizontal="center" vertical="center"/>
      <protection/>
    </xf>
    <xf numFmtId="49" fontId="7" fillId="55" borderId="58" xfId="85" applyNumberFormat="1" applyFont="1" applyFill="1" applyBorder="1" applyAlignment="1">
      <alignment horizontal="center" vertical="center"/>
      <protection/>
    </xf>
    <xf numFmtId="173" fontId="9" fillId="27" borderId="20" xfId="80" applyNumberFormat="1" applyFont="1" applyFill="1" applyBorder="1" applyAlignment="1">
      <alignment horizontal="center" vertical="center"/>
    </xf>
    <xf numFmtId="173" fontId="9" fillId="27" borderId="59" xfId="80" applyNumberFormat="1" applyFont="1" applyFill="1" applyBorder="1" applyAlignment="1">
      <alignment horizontal="center" vertical="center"/>
    </xf>
    <xf numFmtId="0" fontId="8" fillId="27" borderId="21" xfId="85" applyFont="1" applyFill="1" applyBorder="1" applyAlignment="1">
      <alignment horizontal="right" wrapText="1"/>
      <protection/>
    </xf>
    <xf numFmtId="0" fontId="8" fillId="27" borderId="20" xfId="85" applyFont="1" applyFill="1" applyBorder="1" applyAlignment="1">
      <alignment horizontal="right" wrapText="1"/>
      <protection/>
    </xf>
    <xf numFmtId="0" fontId="8" fillId="27" borderId="59" xfId="85" applyFont="1" applyFill="1" applyBorder="1" applyAlignment="1">
      <alignment horizontal="right" wrapText="1"/>
      <protection/>
    </xf>
    <xf numFmtId="0" fontId="7" fillId="55" borderId="56" xfId="85" applyFont="1" applyFill="1" applyBorder="1" applyAlignment="1">
      <alignment horizontal="center" vertical="center"/>
      <protection/>
    </xf>
    <xf numFmtId="0" fontId="7" fillId="55" borderId="28" xfId="85" applyFont="1" applyFill="1" applyBorder="1" applyAlignment="1">
      <alignment horizontal="center" vertical="center"/>
      <protection/>
    </xf>
    <xf numFmtId="4" fontId="7" fillId="55" borderId="60" xfId="118" applyNumberFormat="1" applyFont="1" applyFill="1" applyBorder="1" applyAlignment="1">
      <alignment horizontal="center" vertical="center" wrapText="1"/>
    </xf>
    <xf numFmtId="4" fontId="7" fillId="55" borderId="61" xfId="118" applyNumberFormat="1" applyFont="1" applyFill="1" applyBorder="1" applyAlignment="1">
      <alignment horizontal="center" vertical="center" wrapText="1"/>
    </xf>
    <xf numFmtId="49" fontId="4" fillId="0" borderId="0" xfId="85" applyNumberFormat="1" applyFont="1" applyBorder="1" applyAlignment="1">
      <alignment horizontal="center" vertical="center" wrapText="1"/>
      <protection/>
    </xf>
    <xf numFmtId="49" fontId="4" fillId="0" borderId="62" xfId="85" applyNumberFormat="1" applyFont="1" applyBorder="1" applyAlignment="1">
      <alignment horizontal="center" vertical="center" wrapText="1"/>
      <protection/>
    </xf>
    <xf numFmtId="49" fontId="7" fillId="55" borderId="56" xfId="85" applyNumberFormat="1" applyFont="1" applyFill="1" applyBorder="1" applyAlignment="1">
      <alignment horizontal="center" vertical="center"/>
      <protection/>
    </xf>
    <xf numFmtId="49" fontId="7" fillId="55" borderId="28" xfId="85" applyNumberFormat="1" applyFont="1" applyFill="1" applyBorder="1" applyAlignment="1">
      <alignment horizontal="center" vertical="center"/>
      <protection/>
    </xf>
    <xf numFmtId="0" fontId="7" fillId="55" borderId="56" xfId="85" applyFont="1" applyFill="1" applyBorder="1" applyAlignment="1">
      <alignment horizontal="center" vertical="center" wrapText="1"/>
      <protection/>
    </xf>
    <xf numFmtId="0" fontId="7" fillId="55" borderId="28" xfId="85" applyFont="1" applyFill="1" applyBorder="1" applyAlignment="1">
      <alignment horizontal="center" vertical="center" wrapText="1"/>
      <protection/>
    </xf>
    <xf numFmtId="49" fontId="28" fillId="0" borderId="0" xfId="85" applyNumberFormat="1" applyFont="1" applyBorder="1" applyAlignment="1">
      <alignment horizontal="left" vertical="center" wrapText="1"/>
      <protection/>
    </xf>
    <xf numFmtId="49" fontId="28" fillId="0" borderId="62" xfId="85" applyNumberFormat="1" applyFont="1" applyBorder="1" applyAlignment="1">
      <alignment horizontal="left" vertical="center" wrapText="1"/>
      <protection/>
    </xf>
    <xf numFmtId="0" fontId="3" fillId="0" borderId="63" xfId="85" applyFont="1" applyBorder="1" applyAlignment="1">
      <alignment horizontal="center" vertical="center" wrapText="1"/>
      <protection/>
    </xf>
    <xf numFmtId="0" fontId="3" fillId="0" borderId="64" xfId="85" applyFont="1" applyBorder="1" applyAlignment="1">
      <alignment horizontal="center" vertical="center" wrapText="1"/>
      <protection/>
    </xf>
    <xf numFmtId="0" fontId="3" fillId="0" borderId="22" xfId="85" applyFont="1" applyBorder="1" applyAlignment="1">
      <alignment horizontal="center" vertical="center" wrapText="1"/>
      <protection/>
    </xf>
    <xf numFmtId="0" fontId="3" fillId="0" borderId="0" xfId="85" applyFont="1" applyBorder="1" applyAlignment="1">
      <alignment horizontal="center" vertical="center" wrapText="1"/>
      <protection/>
    </xf>
    <xf numFmtId="0" fontId="4" fillId="0" borderId="0" xfId="85" applyFont="1" applyBorder="1" applyAlignment="1">
      <alignment horizontal="center" vertical="center" wrapText="1"/>
      <protection/>
    </xf>
    <xf numFmtId="0" fontId="4" fillId="0" borderId="62" xfId="85" applyFont="1" applyBorder="1" applyAlignment="1">
      <alignment horizontal="center" vertical="center" wrapText="1"/>
      <protection/>
    </xf>
    <xf numFmtId="0" fontId="29" fillId="0" borderId="64" xfId="85" applyFont="1" applyBorder="1" applyAlignment="1">
      <alignment horizontal="center" vertical="center" wrapText="1"/>
      <protection/>
    </xf>
    <xf numFmtId="0" fontId="29" fillId="0" borderId="65" xfId="85" applyFont="1" applyBorder="1" applyAlignment="1">
      <alignment horizontal="center" vertical="center" wrapText="1"/>
      <protection/>
    </xf>
    <xf numFmtId="0" fontId="72" fillId="0" borderId="0" xfId="0" applyFont="1" applyBorder="1" applyAlignment="1">
      <alignment horizontal="center" vertical="center" wrapText="1"/>
    </xf>
    <xf numFmtId="17" fontId="73" fillId="0" borderId="0" xfId="0" applyNumberFormat="1" applyFont="1" applyBorder="1" applyAlignment="1">
      <alignment horizontal="left" vertical="top"/>
    </xf>
    <xf numFmtId="0" fontId="73" fillId="0" borderId="0" xfId="0" applyFont="1" applyBorder="1" applyAlignment="1">
      <alignment horizontal="left" vertical="top"/>
    </xf>
    <xf numFmtId="0" fontId="70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65" fillId="0" borderId="31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70" fillId="0" borderId="29" xfId="0" applyFont="1" applyBorder="1" applyAlignment="1">
      <alignment horizontal="center" vertical="top" wrapText="1"/>
    </xf>
    <xf numFmtId="0" fontId="70" fillId="0" borderId="55" xfId="0" applyFont="1" applyBorder="1" applyAlignment="1">
      <alignment horizontal="center" vertical="top" wrapText="1"/>
    </xf>
    <xf numFmtId="0" fontId="71" fillId="0" borderId="29" xfId="0" applyFont="1" applyBorder="1" applyAlignment="1">
      <alignment horizontal="left" wrapText="1"/>
    </xf>
    <xf numFmtId="0" fontId="71" fillId="0" borderId="30" xfId="0" applyFont="1" applyBorder="1" applyAlignment="1">
      <alignment horizontal="left" wrapText="1"/>
    </xf>
    <xf numFmtId="0" fontId="71" fillId="0" borderId="55" xfId="0" applyFont="1" applyBorder="1" applyAlignment="1">
      <alignment horizontal="left" wrapText="1"/>
    </xf>
    <xf numFmtId="0" fontId="71" fillId="0" borderId="29" xfId="0" applyFont="1" applyBorder="1" applyAlignment="1">
      <alignment horizontal="center" wrapText="1"/>
    </xf>
    <xf numFmtId="0" fontId="71" fillId="0" borderId="55" xfId="0" applyFont="1" applyBorder="1" applyAlignment="1">
      <alignment horizontal="center" wrapText="1"/>
    </xf>
    <xf numFmtId="171" fontId="68" fillId="0" borderId="31" xfId="118" applyFont="1" applyBorder="1" applyAlignment="1">
      <alignment horizontal="left" vertical="top"/>
    </xf>
    <xf numFmtId="0" fontId="68" fillId="0" borderId="29" xfId="0" applyFont="1" applyBorder="1" applyAlignment="1">
      <alignment horizontal="center" vertical="top"/>
    </xf>
    <xf numFmtId="0" fontId="68" fillId="0" borderId="55" xfId="0" applyFont="1" applyBorder="1" applyAlignment="1">
      <alignment horizontal="center" vertical="top"/>
    </xf>
    <xf numFmtId="0" fontId="68" fillId="0" borderId="31" xfId="0" applyFont="1" applyBorder="1" applyAlignment="1">
      <alignment horizontal="left" vertical="top"/>
    </xf>
    <xf numFmtId="171" fontId="68" fillId="0" borderId="31" xfId="118" applyFont="1" applyBorder="1" applyAlignment="1">
      <alignment horizontal="left"/>
    </xf>
    <xf numFmtId="0" fontId="68" fillId="0" borderId="31" xfId="0" applyFont="1" applyBorder="1" applyAlignment="1">
      <alignment horizontal="center" vertical="top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67" fillId="0" borderId="29" xfId="0" applyNumberFormat="1" applyFont="1" applyBorder="1" applyAlignment="1">
      <alignment horizontal="center"/>
    </xf>
    <xf numFmtId="0" fontId="67" fillId="0" borderId="55" xfId="0" applyFont="1" applyBorder="1" applyAlignment="1">
      <alignment horizontal="center"/>
    </xf>
    <xf numFmtId="0" fontId="65" fillId="0" borderId="31" xfId="0" applyFont="1" applyBorder="1" applyAlignment="1">
      <alignment horizontal="right"/>
    </xf>
    <xf numFmtId="0" fontId="36" fillId="0" borderId="66" xfId="0" applyFont="1" applyFill="1" applyBorder="1" applyAlignment="1">
      <alignment horizontal="center" vertical="center"/>
    </xf>
    <xf numFmtId="0" fontId="36" fillId="0" borderId="67" xfId="0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right" vertical="center" wrapText="1"/>
    </xf>
    <xf numFmtId="0" fontId="40" fillId="0" borderId="0" xfId="0" applyFont="1" applyAlignment="1">
      <alignment horizontal="right" vertical="center" wrapText="1"/>
    </xf>
    <xf numFmtId="0" fontId="32" fillId="0" borderId="25" xfId="0" applyNumberFormat="1" applyFont="1" applyFill="1" applyBorder="1" applyAlignment="1">
      <alignment horizontal="left" vertical="center"/>
    </xf>
    <xf numFmtId="0" fontId="32" fillId="0" borderId="68" xfId="0" applyNumberFormat="1" applyFont="1" applyFill="1" applyBorder="1" applyAlignment="1">
      <alignment horizontal="left" vertical="center"/>
    </xf>
    <xf numFmtId="0" fontId="32" fillId="0" borderId="25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68" xfId="0" applyNumberFormat="1" applyFont="1" applyFill="1" applyBorder="1" applyAlignment="1" applyProtection="1">
      <alignment horizontal="left" vertical="center"/>
      <protection/>
    </xf>
    <xf numFmtId="0" fontId="33" fillId="0" borderId="26" xfId="0" applyNumberFormat="1" applyFont="1" applyFill="1" applyBorder="1" applyAlignment="1">
      <alignment horizontal="left" vertical="center"/>
    </xf>
    <xf numFmtId="0" fontId="33" fillId="0" borderId="44" xfId="0" applyNumberFormat="1" applyFont="1" applyFill="1" applyBorder="1" applyAlignment="1">
      <alignment horizontal="left" vertical="center"/>
    </xf>
    <xf numFmtId="0" fontId="33" fillId="0" borderId="26" xfId="0" applyNumberFormat="1" applyFont="1" applyFill="1" applyBorder="1" applyAlignment="1" applyProtection="1">
      <alignment horizontal="left" vertical="center"/>
      <protection/>
    </xf>
    <xf numFmtId="0" fontId="33" fillId="0" borderId="49" xfId="0" applyNumberFormat="1" applyFont="1" applyFill="1" applyBorder="1" applyAlignment="1" applyProtection="1">
      <alignment horizontal="left" vertical="center"/>
      <protection/>
    </xf>
    <xf numFmtId="0" fontId="33" fillId="0" borderId="44" xfId="0" applyNumberFormat="1" applyFont="1" applyFill="1" applyBorder="1" applyAlignment="1" applyProtection="1">
      <alignment horizontal="left" vertical="center"/>
      <protection/>
    </xf>
    <xf numFmtId="0" fontId="32" fillId="0" borderId="0" xfId="0" applyNumberFormat="1" applyFont="1" applyFill="1" applyBorder="1" applyAlignment="1">
      <alignment horizontal="left" vertical="center"/>
    </xf>
    <xf numFmtId="0" fontId="38" fillId="52" borderId="0" xfId="0" applyFont="1" applyFill="1" applyAlignment="1" applyProtection="1">
      <alignment horizontal="left" vertical="center" wrapText="1"/>
      <protection locked="0"/>
    </xf>
    <xf numFmtId="0" fontId="30" fillId="52" borderId="0" xfId="0" applyFont="1" applyFill="1" applyAlignment="1" applyProtection="1">
      <alignment horizontal="left" vertical="center" wrapText="1"/>
      <protection locked="0"/>
    </xf>
    <xf numFmtId="0" fontId="30" fillId="0" borderId="0" xfId="0" applyFont="1" applyFill="1" applyAlignment="1">
      <alignment horizontal="left"/>
    </xf>
    <xf numFmtId="49" fontId="33" fillId="0" borderId="26" xfId="0" applyNumberFormat="1" applyFont="1" applyFill="1" applyBorder="1" applyAlignment="1">
      <alignment horizontal="left" vertical="center" wrapText="1"/>
    </xf>
    <xf numFmtId="0" fontId="33" fillId="0" borderId="44" xfId="0" applyNumberFormat="1" applyFont="1" applyFill="1" applyBorder="1" applyAlignment="1">
      <alignment horizontal="left" vertical="center" wrapText="1"/>
    </xf>
    <xf numFmtId="0" fontId="33" fillId="0" borderId="49" xfId="0" applyNumberFormat="1" applyFont="1" applyFill="1" applyBorder="1" applyAlignment="1">
      <alignment horizontal="left" vertical="center" wrapText="1"/>
    </xf>
    <xf numFmtId="0" fontId="30" fillId="3" borderId="0" xfId="0" applyFont="1" applyFill="1" applyAlignment="1" applyProtection="1">
      <alignment horizontal="left" vertical="top"/>
      <protection locked="0"/>
    </xf>
  </cellXfs>
  <cellStyles count="108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Excel Built-in Normal" xfId="73"/>
    <cellStyle name="Hyperlink" xfId="74"/>
    <cellStyle name="Followed Hyperlink" xfId="75"/>
    <cellStyle name="Incorreto" xfId="76"/>
    <cellStyle name="Incorreto 2" xfId="77"/>
    <cellStyle name="Currency" xfId="78"/>
    <cellStyle name="Currency [0]" xfId="79"/>
    <cellStyle name="Moeda 2" xfId="80"/>
    <cellStyle name="Moeda 2 2" xfId="81"/>
    <cellStyle name="Moeda 2_3_-_PLANILHA_MODELO_e_Boletim_CPOS_157" xfId="82"/>
    <cellStyle name="Neutra" xfId="83"/>
    <cellStyle name="Neutra 2" xfId="84"/>
    <cellStyle name="Normal 2" xfId="85"/>
    <cellStyle name="Normal 2 2" xfId="86"/>
    <cellStyle name="Normal 2 2 2" xfId="87"/>
    <cellStyle name="Normal 2 3" xfId="88"/>
    <cellStyle name="Normal 2_3_-_PLANILHA_MODELO_e_Boletim_CPOS_157" xfId="89"/>
    <cellStyle name="Normal 3" xfId="90"/>
    <cellStyle name="Normal 4" xfId="91"/>
    <cellStyle name="Normal 4 2" xfId="92"/>
    <cellStyle name="Normal 5" xfId="93"/>
    <cellStyle name="Nota" xfId="94"/>
    <cellStyle name="Nota 2" xfId="95"/>
    <cellStyle name="Percent" xfId="96"/>
    <cellStyle name="Porcentagem 2" xfId="97"/>
    <cellStyle name="Porcentagem 3" xfId="98"/>
    <cellStyle name="Saída" xfId="99"/>
    <cellStyle name="Saída 2" xfId="100"/>
    <cellStyle name="Comma [0]" xfId="101"/>
    <cellStyle name="Texto de Aviso" xfId="102"/>
    <cellStyle name="Texto de Aviso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ítulo 4 2" xfId="114"/>
    <cellStyle name="Título 5" xfId="115"/>
    <cellStyle name="Total" xfId="116"/>
    <cellStyle name="Total 2" xfId="117"/>
    <cellStyle name="Comma" xfId="118"/>
    <cellStyle name="Vírgula 2" xfId="119"/>
    <cellStyle name="Vírgula 3" xfId="120"/>
    <cellStyle name="Vírgula 3 2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704850</xdr:colOff>
      <xdr:row>3</xdr:row>
      <xdr:rowOff>180975</xdr:rowOff>
    </xdr:to>
    <xdr:pic>
      <xdr:nvPicPr>
        <xdr:cNvPr id="1" name="Imagem 3" descr="b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2763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352425</xdr:colOff>
      <xdr:row>0</xdr:row>
      <xdr:rowOff>1266825</xdr:rowOff>
    </xdr:to>
    <xdr:pic>
      <xdr:nvPicPr>
        <xdr:cNvPr id="1" name="Imagem 3" descr="b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763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1933575</xdr:colOff>
      <xdr:row>24</xdr:row>
      <xdr:rowOff>95250</xdr:rowOff>
    </xdr:from>
    <xdr:to>
      <xdr:col>3</xdr:col>
      <xdr:colOff>838200</xdr:colOff>
      <xdr:row>27</xdr:row>
      <xdr:rowOff>114300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33600" y="416242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REFEITURA%20PEDRA%20BELA\Documents%20(2)\OBRAS%20EM%20ANDAMENTO\RECAPEAMENTO%20RUA%20DA%20ESCOLA%20MUNICIPAL\VERBA%20CORRIGIDA%20-%20DEZ%20-%202017\PLANILHA%20M&#218;LTIPLA%202%20v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ng.&#186;%20JUnior\Documents\PM%20VARGEM\2020%20-%20PROJETOS%20DIVERSOS\SALA%20POSTO%20DE%20SA&#218;DE\DOCUMENTOS%20LICITA&#199;&#195;O%20-%2017-04\PLANILHA%20OR&#199;AMENT&#193;RIA%20E%20CRONOGRAMA%20-ANEXO%20I%20e%20I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al"/>
      <sheetName val="Novo!"/>
      <sheetName val="Dados"/>
      <sheetName val="BDI"/>
      <sheetName val="Orçamento"/>
      <sheetName val="Memória"/>
      <sheetName val="Comp"/>
      <sheetName val="Cot"/>
      <sheetName val="CronoFF"/>
      <sheetName val="QCI"/>
      <sheetName val="Memorial Descritivo"/>
      <sheetName val="Licitação"/>
      <sheetName val="CronoFF-L"/>
      <sheetName val="QCI-L"/>
      <sheetName val="BM"/>
      <sheetName val="RRE"/>
      <sheetName val="OFÍCIO"/>
      <sheetName val="CC"/>
    </sheetNames>
    <sheetDataSet>
      <sheetData sheetId="2">
        <row r="6">
          <cell r="G6" t="str">
            <v>PREFEITURA MUNICIPAL DE PEDRA BELA</v>
          </cell>
        </row>
        <row r="7">
          <cell r="G7" t="str">
            <v>Pedra Bela/SP</v>
          </cell>
        </row>
        <row r="13">
          <cell r="G13" t="str">
            <v>Planejamento Urbano/ Pavimentação</v>
          </cell>
        </row>
        <row r="28">
          <cell r="G28" t="str">
            <v>DESONERADO</v>
          </cell>
        </row>
        <row r="32">
          <cell r="G32" t="str">
            <v>José Claudio Bertão Junior</v>
          </cell>
        </row>
        <row r="33">
          <cell r="G33" t="str">
            <v>060.191.448-8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 ORÇAMENTÁRIA"/>
      <sheetName val="CRONOGRAMA"/>
      <sheetName val="Plan3"/>
    </sheetNames>
    <sheetDataSet>
      <sheetData sheetId="0">
        <row r="2">
          <cell r="B2">
            <v>43922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54">
      <selection activeCell="C1" sqref="A1:G69"/>
    </sheetView>
  </sheetViews>
  <sheetFormatPr defaultColWidth="9.140625" defaultRowHeight="12.75"/>
  <cols>
    <col min="1" max="1" width="9.7109375" style="1" bestFit="1" customWidth="1"/>
    <col min="2" max="2" width="11.421875" style="4" customWidth="1"/>
    <col min="3" max="3" width="52.421875" style="6" customWidth="1"/>
    <col min="4" max="4" width="8.8515625" style="1" bestFit="1" customWidth="1"/>
    <col min="5" max="5" width="9.7109375" style="5" customWidth="1"/>
    <col min="6" max="6" width="12.7109375" style="5" customWidth="1"/>
    <col min="7" max="7" width="15.00390625" style="7" customWidth="1"/>
    <col min="8" max="8" width="10.7109375" style="7" customWidth="1"/>
    <col min="9" max="9" width="14.8515625" style="7" hidden="1" customWidth="1"/>
    <col min="10" max="10" width="21.140625" style="5" hidden="1" customWidth="1"/>
    <col min="11" max="11" width="10.00390625" style="1" hidden="1" customWidth="1"/>
    <col min="12" max="13" width="0" style="1" hidden="1" customWidth="1"/>
    <col min="14" max="14" width="14.8515625" style="1" hidden="1" customWidth="1"/>
    <col min="15" max="15" width="13.57421875" style="1" hidden="1" customWidth="1"/>
    <col min="16" max="16" width="0" style="1" hidden="1" customWidth="1"/>
    <col min="17" max="16384" width="9.140625" style="1" customWidth="1"/>
  </cols>
  <sheetData>
    <row r="1" spans="1:10" ht="26.25" customHeight="1">
      <c r="A1" s="199"/>
      <c r="B1" s="200"/>
      <c r="C1" s="205" t="s">
        <v>29</v>
      </c>
      <c r="D1" s="205"/>
      <c r="E1" s="205"/>
      <c r="F1" s="205"/>
      <c r="G1" s="206"/>
      <c r="H1" s="18"/>
      <c r="I1" s="18"/>
      <c r="J1" s="18"/>
    </row>
    <row r="2" spans="1:10" ht="36" customHeight="1">
      <c r="A2" s="201"/>
      <c r="B2" s="202"/>
      <c r="C2" s="203" t="s">
        <v>105</v>
      </c>
      <c r="D2" s="203"/>
      <c r="E2" s="203"/>
      <c r="F2" s="203"/>
      <c r="G2" s="204"/>
      <c r="H2" s="19"/>
      <c r="I2" s="19"/>
      <c r="J2" s="19"/>
    </row>
    <row r="3" spans="1:10" ht="26.25" customHeight="1">
      <c r="A3" s="201"/>
      <c r="B3" s="202"/>
      <c r="C3" s="203" t="s">
        <v>8</v>
      </c>
      <c r="D3" s="203"/>
      <c r="E3" s="203"/>
      <c r="F3" s="203"/>
      <c r="G3" s="204"/>
      <c r="H3" s="19"/>
      <c r="I3" s="19"/>
      <c r="J3" s="18"/>
    </row>
    <row r="4" spans="1:14" ht="65.25" customHeight="1">
      <c r="A4" s="201"/>
      <c r="B4" s="202"/>
      <c r="C4" s="197" t="s">
        <v>106</v>
      </c>
      <c r="D4" s="197"/>
      <c r="E4" s="197"/>
      <c r="F4" s="197"/>
      <c r="G4" s="198"/>
      <c r="H4" s="22"/>
      <c r="I4" s="22"/>
      <c r="J4" s="22"/>
      <c r="N4" s="154"/>
    </row>
    <row r="5" spans="1:10" ht="19.5" customHeight="1">
      <c r="A5" s="14"/>
      <c r="B5" s="15"/>
      <c r="C5" s="23" t="s">
        <v>30</v>
      </c>
      <c r="D5" s="191" t="s">
        <v>120</v>
      </c>
      <c r="E5" s="191"/>
      <c r="F5" s="191"/>
      <c r="G5" s="192"/>
      <c r="H5" s="22"/>
      <c r="I5" s="22"/>
      <c r="J5" s="22"/>
    </row>
    <row r="6" spans="1:10" ht="26.25" customHeight="1" thickBot="1">
      <c r="A6" s="16"/>
      <c r="B6" s="17"/>
      <c r="C6" s="9"/>
      <c r="D6" s="9"/>
      <c r="E6" s="9"/>
      <c r="F6" s="9"/>
      <c r="G6" s="21"/>
      <c r="H6" s="22"/>
      <c r="I6" s="22"/>
      <c r="J6" s="22"/>
    </row>
    <row r="7" spans="1:8" s="2" customFormat="1" ht="12.75">
      <c r="A7" s="180" t="s">
        <v>9</v>
      </c>
      <c r="B7" s="193" t="s">
        <v>1</v>
      </c>
      <c r="C7" s="195" t="s">
        <v>2</v>
      </c>
      <c r="D7" s="187" t="s">
        <v>10</v>
      </c>
      <c r="E7" s="178" t="s">
        <v>11</v>
      </c>
      <c r="F7" s="178" t="s">
        <v>31</v>
      </c>
      <c r="G7" s="189" t="s">
        <v>32</v>
      </c>
      <c r="H7"/>
    </row>
    <row r="8" spans="1:9" s="2" customFormat="1" ht="12.75" customHeight="1">
      <c r="A8" s="181"/>
      <c r="B8" s="194"/>
      <c r="C8" s="196"/>
      <c r="D8" s="188"/>
      <c r="E8" s="179"/>
      <c r="F8" s="179"/>
      <c r="G8" s="190"/>
      <c r="I8" s="112">
        <f>F23/I9</f>
        <v>1.2476407375081824</v>
      </c>
    </row>
    <row r="9" spans="1:9" s="8" customFormat="1" ht="12.75">
      <c r="A9" s="116"/>
      <c r="B9" s="117"/>
      <c r="C9" s="118"/>
      <c r="D9" s="119"/>
      <c r="E9" s="120"/>
      <c r="F9" s="120"/>
      <c r="G9" s="121"/>
      <c r="I9" s="8">
        <v>733.28</v>
      </c>
    </row>
    <row r="10" spans="1:9" s="3" customFormat="1" ht="12.75">
      <c r="A10" s="122"/>
      <c r="B10" s="123" t="s">
        <v>12</v>
      </c>
      <c r="C10" s="124" t="s">
        <v>13</v>
      </c>
      <c r="D10" s="125"/>
      <c r="E10" s="126"/>
      <c r="F10" s="126"/>
      <c r="G10" s="127">
        <f>SUBTOTAL(9,G11:G11)</f>
        <v>1610.24</v>
      </c>
      <c r="I10" s="10">
        <f>I9/2.4</f>
        <v>305.53333333333336</v>
      </c>
    </row>
    <row r="11" spans="1:15" ht="15.75" customHeight="1">
      <c r="A11" s="128" t="s">
        <v>14</v>
      </c>
      <c r="B11" s="129" t="s">
        <v>126</v>
      </c>
      <c r="C11" s="130" t="s">
        <v>127</v>
      </c>
      <c r="D11" s="131" t="s">
        <v>3</v>
      </c>
      <c r="E11" s="132">
        <v>4.5</v>
      </c>
      <c r="F11" s="133">
        <v>357.83</v>
      </c>
      <c r="G11" s="134">
        <f>ROUND(E11*F11,2)</f>
        <v>1610.24</v>
      </c>
      <c r="H11" s="1"/>
      <c r="I11" s="10">
        <f>I10*1.196</f>
        <v>365.41786666666667</v>
      </c>
      <c r="J11" s="1" t="s">
        <v>5</v>
      </c>
      <c r="O11"/>
    </row>
    <row r="12" spans="1:10" ht="15.75" customHeight="1">
      <c r="A12" s="128"/>
      <c r="B12" s="129"/>
      <c r="C12" s="130"/>
      <c r="D12" s="131"/>
      <c r="E12" s="132"/>
      <c r="F12" s="133"/>
      <c r="G12" s="134"/>
      <c r="H12" s="1"/>
      <c r="I12" s="10"/>
      <c r="J12" s="1"/>
    </row>
    <row r="13" spans="1:10" ht="12.75">
      <c r="A13" s="122"/>
      <c r="B13" s="123" t="s">
        <v>16</v>
      </c>
      <c r="C13" s="124" t="s">
        <v>37</v>
      </c>
      <c r="D13" s="125"/>
      <c r="E13" s="126"/>
      <c r="F13" s="126"/>
      <c r="G13" s="127">
        <f>G20+G25+G30</f>
        <v>409469.21</v>
      </c>
      <c r="H13" s="1"/>
      <c r="I13" s="10"/>
      <c r="J13" s="1"/>
    </row>
    <row r="14" spans="1:10" ht="12.75" hidden="1">
      <c r="A14" s="135"/>
      <c r="B14" s="123" t="s">
        <v>22</v>
      </c>
      <c r="C14" s="124" t="s">
        <v>23</v>
      </c>
      <c r="D14" s="136">
        <f>IF($A14="","",VLOOKUP($B14,#REF!,3,0))</f>
      </c>
      <c r="E14" s="137"/>
      <c r="F14" s="137"/>
      <c r="G14" s="127">
        <f>SUBTOTAL(9,G15:G19)</f>
        <v>0</v>
      </c>
      <c r="H14" s="1"/>
      <c r="I14" s="10"/>
      <c r="J14" s="1"/>
    </row>
    <row r="15" spans="1:10" ht="12.75" hidden="1">
      <c r="A15" s="128"/>
      <c r="B15" s="129" t="s">
        <v>17</v>
      </c>
      <c r="C15" s="138">
        <f>IF($A15="","",VLOOKUP($B15,#REF!,2,0))</f>
      </c>
      <c r="D15" s="139">
        <f>IF($A15="","",VLOOKUP($B15,#REF!,3,0))</f>
      </c>
      <c r="E15" s="140">
        <v>45</v>
      </c>
      <c r="F15" s="133">
        <f>IF($A15="","",VLOOKUP($B15,#REF!,4,0))</f>
      </c>
      <c r="G15" s="141">
        <f>IF(A15="","",ROUND(#REF!+#REF!,2))</f>
      </c>
      <c r="H15" s="1"/>
      <c r="I15" s="10"/>
      <c r="J15" s="1"/>
    </row>
    <row r="16" spans="1:10" ht="12.75" hidden="1">
      <c r="A16" s="128"/>
      <c r="B16" s="129" t="s">
        <v>18</v>
      </c>
      <c r="C16" s="138">
        <f>IF($A16="","",VLOOKUP($B16,#REF!,2,0))</f>
      </c>
      <c r="D16" s="139">
        <f>IF($A16="","",VLOOKUP($B16,#REF!,3,0))</f>
      </c>
      <c r="E16" s="140">
        <v>383.5</v>
      </c>
      <c r="F16" s="133">
        <f>IF($A16="","",VLOOKUP($B16,#REF!,4,0))</f>
      </c>
      <c r="G16" s="141">
        <f>IF(A16="","",ROUND(#REF!+#REF!,2))</f>
      </c>
      <c r="H16" s="1"/>
      <c r="I16" s="10"/>
      <c r="J16" s="1"/>
    </row>
    <row r="17" spans="1:10" ht="12.75" hidden="1">
      <c r="A17" s="128"/>
      <c r="B17" s="129" t="s">
        <v>19</v>
      </c>
      <c r="C17" s="138">
        <f>IF($A17="","",VLOOKUP($B17,#REF!,2,0))</f>
      </c>
      <c r="D17" s="139">
        <f>IF($A17="","",VLOOKUP($B17,#REF!,3,0))</f>
      </c>
      <c r="E17" s="140">
        <v>65</v>
      </c>
      <c r="F17" s="133">
        <f>IF($A17="","",VLOOKUP($B17,#REF!,4,0))</f>
      </c>
      <c r="G17" s="141">
        <f>IF(A17="","",ROUND(#REF!+#REF!,2))</f>
      </c>
      <c r="H17" s="1"/>
      <c r="I17" s="10"/>
      <c r="J17" s="1"/>
    </row>
    <row r="18" spans="1:10" ht="12.75" hidden="1">
      <c r="A18" s="128"/>
      <c r="B18" s="129" t="s">
        <v>20</v>
      </c>
      <c r="C18" s="138">
        <f>IF($A18="","",VLOOKUP($B18,#REF!,2,0))</f>
      </c>
      <c r="D18" s="139">
        <f>IF($A18="","",VLOOKUP($B18,#REF!,3,0))</f>
      </c>
      <c r="E18" s="140">
        <v>18</v>
      </c>
      <c r="F18" s="133">
        <v>550</v>
      </c>
      <c r="G18" s="141">
        <f>IF(A18="","",ROUND(#REF!+#REF!,2))</f>
      </c>
      <c r="H18" s="1"/>
      <c r="I18" s="10"/>
      <c r="J18" s="1"/>
    </row>
    <row r="19" spans="1:10" ht="12.75" hidden="1">
      <c r="A19" s="128"/>
      <c r="B19" s="129"/>
      <c r="C19" s="130">
        <f>IF($A19="","",VLOOKUP($B19,#REF!,2,0))</f>
      </c>
      <c r="D19" s="131">
        <f>IF($A19="","",VLOOKUP($B19,#REF!,3,0))</f>
      </c>
      <c r="E19" s="132"/>
      <c r="F19" s="132"/>
      <c r="G19" s="141">
        <f>IF(A19="","",ROUND(#REF!+#REF!,2))</f>
      </c>
      <c r="H19" s="1"/>
      <c r="I19" s="10"/>
      <c r="J19" s="1"/>
    </row>
    <row r="20" spans="1:10" ht="30" customHeight="1">
      <c r="A20" s="135"/>
      <c r="B20" s="123" t="s">
        <v>22</v>
      </c>
      <c r="C20" s="124" t="s">
        <v>82</v>
      </c>
      <c r="D20" s="136">
        <f>IF($A20="","",VLOOKUP($B20,#REF!,3,0))</f>
      </c>
      <c r="E20" s="137"/>
      <c r="F20" s="137"/>
      <c r="G20" s="127">
        <f>SUM(G21:G23)</f>
        <v>323912.04000000004</v>
      </c>
      <c r="H20" s="1"/>
      <c r="I20" s="10"/>
      <c r="J20" s="1"/>
    </row>
    <row r="21" spans="1:15" ht="18" customHeight="1">
      <c r="A21" s="128" t="s">
        <v>14</v>
      </c>
      <c r="B21" s="129" t="s">
        <v>33</v>
      </c>
      <c r="C21" s="130" t="str">
        <f>J21</f>
        <v>Varrição de pavimento para recapeamento</v>
      </c>
      <c r="D21" s="131" t="s">
        <v>3</v>
      </c>
      <c r="E21" s="132">
        <v>9949.44</v>
      </c>
      <c r="F21" s="133">
        <v>0.54</v>
      </c>
      <c r="G21" s="134">
        <f>ROUND(E21*F21,2)</f>
        <v>5372.7</v>
      </c>
      <c r="H21" s="1"/>
      <c r="I21" s="10"/>
      <c r="J21" s="1" t="s">
        <v>21</v>
      </c>
      <c r="L21" s="111">
        <f>F21*1.196</f>
        <v>0.64584</v>
      </c>
      <c r="N21" s="1">
        <f>E21*0.03</f>
        <v>298.4832</v>
      </c>
      <c r="O21" s="169">
        <f>E21*0.03</f>
        <v>298.4832</v>
      </c>
    </row>
    <row r="22" spans="1:14" ht="21" customHeight="1">
      <c r="A22" s="128" t="s">
        <v>14</v>
      </c>
      <c r="B22" s="129" t="s">
        <v>34</v>
      </c>
      <c r="C22" s="130" t="str">
        <f>J22</f>
        <v>Imprimação betuminosa ligante</v>
      </c>
      <c r="D22" s="131" t="s">
        <v>3</v>
      </c>
      <c r="E22" s="132">
        <f>E21</f>
        <v>9949.44</v>
      </c>
      <c r="F22" s="133">
        <v>4.57</v>
      </c>
      <c r="G22" s="134">
        <f>ROUND(E22*F22,2)</f>
        <v>45468.94</v>
      </c>
      <c r="H22" s="1"/>
      <c r="I22" s="10">
        <f>E23*2.4</f>
        <v>716.352</v>
      </c>
      <c r="J22" s="29" t="s">
        <v>7</v>
      </c>
      <c r="L22" s="111">
        <f>F22*1.196</f>
        <v>5.46572</v>
      </c>
      <c r="N22" s="1">
        <f aca="true" t="shared" si="0" ref="N22:N61">E22*0.03</f>
        <v>298.4832</v>
      </c>
    </row>
    <row r="23" spans="1:14" ht="30" customHeight="1">
      <c r="A23" s="128" t="s">
        <v>14</v>
      </c>
      <c r="B23" s="129" t="s">
        <v>35</v>
      </c>
      <c r="C23" s="142" t="str">
        <f>J23</f>
        <v>Camada de rolamento em concreto asfáltico usinado a quente - (CBUQ)</v>
      </c>
      <c r="D23" s="139" t="s">
        <v>4</v>
      </c>
      <c r="E23" s="140">
        <v>298.48</v>
      </c>
      <c r="F23" s="133">
        <v>914.87</v>
      </c>
      <c r="G23" s="141">
        <f>ROUND(E23*F23,2)</f>
        <v>273070.4</v>
      </c>
      <c r="H23" s="1"/>
      <c r="I23" s="10">
        <f>G23*1.196</f>
        <v>326592.1984</v>
      </c>
      <c r="J23" s="28" t="s">
        <v>6</v>
      </c>
      <c r="L23" s="111">
        <f>F23*1.196</f>
        <v>1094.18452</v>
      </c>
      <c r="N23" s="1">
        <f t="shared" si="0"/>
        <v>8.9544</v>
      </c>
    </row>
    <row r="24" spans="1:14" ht="12.75">
      <c r="A24" s="128"/>
      <c r="B24" s="129"/>
      <c r="C24" s="142"/>
      <c r="D24" s="139"/>
      <c r="E24" s="140"/>
      <c r="F24" s="133"/>
      <c r="G24" s="141"/>
      <c r="H24" s="24"/>
      <c r="I24" s="25"/>
      <c r="J24" s="1"/>
      <c r="N24" s="1">
        <f t="shared" si="0"/>
        <v>0</v>
      </c>
    </row>
    <row r="25" spans="1:14" ht="12.75">
      <c r="A25" s="135"/>
      <c r="B25" s="123" t="s">
        <v>86</v>
      </c>
      <c r="C25" s="124" t="s">
        <v>84</v>
      </c>
      <c r="D25" s="136">
        <f>IF($A25="","",VLOOKUP($B25,#REF!,3,0))</f>
      </c>
      <c r="E25" s="137"/>
      <c r="F25" s="137"/>
      <c r="G25" s="127">
        <f>SUM(G26:G28)</f>
        <v>50993.07</v>
      </c>
      <c r="H25" s="26"/>
      <c r="I25" s="27">
        <f>I23/I22</f>
        <v>455.9102206736353</v>
      </c>
      <c r="J25" s="1"/>
      <c r="K25" s="10"/>
      <c r="N25" s="1">
        <f t="shared" si="0"/>
        <v>0</v>
      </c>
    </row>
    <row r="26" spans="1:15" ht="22.5" customHeight="1">
      <c r="A26" s="128" t="s">
        <v>14</v>
      </c>
      <c r="B26" s="129" t="s">
        <v>33</v>
      </c>
      <c r="C26" s="130" t="s">
        <v>21</v>
      </c>
      <c r="D26" s="131" t="s">
        <v>3</v>
      </c>
      <c r="E26" s="132">
        <v>1566.21</v>
      </c>
      <c r="F26" s="133">
        <v>0.54</v>
      </c>
      <c r="G26" s="134">
        <f>ROUND(E26*F26,2)</f>
        <v>845.75</v>
      </c>
      <c r="H26" s="10"/>
      <c r="I26" s="1">
        <f>(G20*1.196)/E21</f>
        <v>38.93674416248553</v>
      </c>
      <c r="J26" s="1"/>
      <c r="L26" s="1">
        <f>300000/10950</f>
        <v>27.397260273972602</v>
      </c>
      <c r="N26" s="1">
        <f t="shared" si="0"/>
        <v>46.9863</v>
      </c>
      <c r="O26" s="169">
        <f>E26*0.03</f>
        <v>46.9863</v>
      </c>
    </row>
    <row r="27" spans="1:14" ht="24" customHeight="1">
      <c r="A27" s="128" t="s">
        <v>14</v>
      </c>
      <c r="B27" s="129" t="s">
        <v>34</v>
      </c>
      <c r="C27" s="130" t="s">
        <v>7</v>
      </c>
      <c r="D27" s="131" t="s">
        <v>3</v>
      </c>
      <c r="E27" s="132">
        <v>1566.21</v>
      </c>
      <c r="F27" s="133">
        <v>4.57</v>
      </c>
      <c r="G27" s="134">
        <f>ROUND(E27*F27,2)</f>
        <v>7157.58</v>
      </c>
      <c r="H27" s="1"/>
      <c r="I27" s="1"/>
      <c r="J27" s="1"/>
      <c r="L27" s="1">
        <f>L26/1.196</f>
        <v>22.907408255829935</v>
      </c>
      <c r="N27" s="1">
        <f t="shared" si="0"/>
        <v>46.9863</v>
      </c>
    </row>
    <row r="28" spans="1:14" ht="27" customHeight="1">
      <c r="A28" s="128" t="s">
        <v>14</v>
      </c>
      <c r="B28" s="129" t="s">
        <v>35</v>
      </c>
      <c r="C28" s="142" t="s">
        <v>6</v>
      </c>
      <c r="D28" s="139" t="s">
        <v>4</v>
      </c>
      <c r="E28" s="140">
        <v>46.99</v>
      </c>
      <c r="F28" s="133">
        <v>914.87</v>
      </c>
      <c r="G28" s="141">
        <f>ROUND(E28*F28,2)</f>
        <v>42989.74</v>
      </c>
      <c r="H28" s="1"/>
      <c r="I28" s="1"/>
      <c r="J28" s="1"/>
      <c r="N28" s="1">
        <f t="shared" si="0"/>
        <v>1.4097</v>
      </c>
    </row>
    <row r="29" spans="1:14" ht="19.5" customHeight="1">
      <c r="A29" s="128"/>
      <c r="B29" s="129"/>
      <c r="C29" s="142"/>
      <c r="D29" s="139"/>
      <c r="E29" s="140"/>
      <c r="F29" s="133"/>
      <c r="G29" s="141"/>
      <c r="L29" s="28">
        <f>F61/E21</f>
        <v>68.37802730605944</v>
      </c>
      <c r="N29" s="1">
        <f t="shared" si="0"/>
        <v>0</v>
      </c>
    </row>
    <row r="30" spans="1:14" ht="15.75" customHeight="1">
      <c r="A30" s="135"/>
      <c r="B30" s="123" t="s">
        <v>87</v>
      </c>
      <c r="C30" s="124" t="s">
        <v>85</v>
      </c>
      <c r="D30" s="136">
        <f>IF($A30="","",VLOOKUP($B30,#REF!,3,0))</f>
      </c>
      <c r="E30" s="137"/>
      <c r="F30" s="137"/>
      <c r="G30" s="127">
        <f>SUM(G31:G33)</f>
        <v>34564.1</v>
      </c>
      <c r="H30" s="11"/>
      <c r="I30" s="113">
        <f>G20*1.196</f>
        <v>387398.79984000005</v>
      </c>
      <c r="J30" s="11"/>
      <c r="N30" s="1">
        <f t="shared" si="0"/>
        <v>0</v>
      </c>
    </row>
    <row r="31" spans="1:15" ht="17.25" customHeight="1">
      <c r="A31" s="128" t="s">
        <v>14</v>
      </c>
      <c r="B31" s="129" t="s">
        <v>33</v>
      </c>
      <c r="C31" s="130" t="s">
        <v>21</v>
      </c>
      <c r="D31" s="131" t="s">
        <v>3</v>
      </c>
      <c r="E31" s="132">
        <v>1061.74</v>
      </c>
      <c r="F31" s="133">
        <v>0.54</v>
      </c>
      <c r="G31" s="134">
        <f>ROUND(E31*F31,2)</f>
        <v>573.34</v>
      </c>
      <c r="H31" s="11"/>
      <c r="I31" s="113">
        <f>I30/E21</f>
        <v>38.93674416248553</v>
      </c>
      <c r="J31" s="11"/>
      <c r="N31" s="1">
        <f t="shared" si="0"/>
        <v>31.8522</v>
      </c>
      <c r="O31" s="169">
        <f>E31*0.03</f>
        <v>31.8522</v>
      </c>
    </row>
    <row r="32" spans="1:14" ht="24" customHeight="1">
      <c r="A32" s="128" t="s">
        <v>14</v>
      </c>
      <c r="B32" s="129" t="s">
        <v>34</v>
      </c>
      <c r="C32" s="130" t="s">
        <v>7</v>
      </c>
      <c r="D32" s="131" t="s">
        <v>3</v>
      </c>
      <c r="E32" s="132">
        <f>E31</f>
        <v>1061.74</v>
      </c>
      <c r="F32" s="133">
        <v>4.57</v>
      </c>
      <c r="G32" s="134">
        <f>ROUND(E32*F32,2)</f>
        <v>4852.15</v>
      </c>
      <c r="H32" s="20"/>
      <c r="I32" s="114">
        <v>500000</v>
      </c>
      <c r="J32" s="20"/>
      <c r="N32" s="1">
        <f t="shared" si="0"/>
        <v>31.8522</v>
      </c>
    </row>
    <row r="33" spans="1:14" ht="30" customHeight="1">
      <c r="A33" s="128" t="s">
        <v>14</v>
      </c>
      <c r="B33" s="129" t="s">
        <v>35</v>
      </c>
      <c r="C33" s="142" t="s">
        <v>6</v>
      </c>
      <c r="D33" s="139" t="s">
        <v>4</v>
      </c>
      <c r="E33" s="140">
        <v>31.85</v>
      </c>
      <c r="F33" s="133">
        <v>914.87</v>
      </c>
      <c r="G33" s="141">
        <f>ROUND(E33*F33,2)</f>
        <v>29138.61</v>
      </c>
      <c r="H33" s="20"/>
      <c r="I33" s="114">
        <f>I32/I31</f>
        <v>12841.340763199612</v>
      </c>
      <c r="J33" s="20"/>
      <c r="N33" s="1">
        <f t="shared" si="0"/>
        <v>0.9555</v>
      </c>
    </row>
    <row r="34" spans="1:14" ht="21.75" customHeight="1">
      <c r="A34" s="128"/>
      <c r="B34" s="129"/>
      <c r="C34" s="142"/>
      <c r="D34" s="139"/>
      <c r="E34" s="140"/>
      <c r="F34" s="133"/>
      <c r="G34" s="141"/>
      <c r="H34" s="20"/>
      <c r="I34" s="114"/>
      <c r="J34" s="20"/>
      <c r="N34" s="1">
        <f t="shared" si="0"/>
        <v>0</v>
      </c>
    </row>
    <row r="35" spans="1:14" ht="27" customHeight="1">
      <c r="A35" s="122"/>
      <c r="B35" s="123" t="s">
        <v>83</v>
      </c>
      <c r="C35" s="124" t="s">
        <v>92</v>
      </c>
      <c r="D35" s="125"/>
      <c r="E35" s="126"/>
      <c r="F35" s="126"/>
      <c r="G35" s="127">
        <f>G36+G41+G46+G51</f>
        <v>261145.13</v>
      </c>
      <c r="H35" s="20"/>
      <c r="I35" s="114"/>
      <c r="J35" s="20"/>
      <c r="N35" s="1">
        <f t="shared" si="0"/>
        <v>0</v>
      </c>
    </row>
    <row r="36" spans="1:14" ht="27" customHeight="1">
      <c r="A36" s="135"/>
      <c r="B36" s="123" t="s">
        <v>93</v>
      </c>
      <c r="C36" s="124" t="s">
        <v>94</v>
      </c>
      <c r="D36" s="136">
        <f>IF($A36="","",VLOOKUP($B36,#REF!,3,0))</f>
      </c>
      <c r="E36" s="137"/>
      <c r="F36" s="137"/>
      <c r="G36" s="127">
        <f>SUM(G37:G39)</f>
        <v>53761.11</v>
      </c>
      <c r="H36" s="20"/>
      <c r="I36" s="114"/>
      <c r="J36" s="20"/>
      <c r="N36" s="1">
        <f t="shared" si="0"/>
        <v>0</v>
      </c>
    </row>
    <row r="37" spans="1:10" ht="27" customHeight="1">
      <c r="A37" s="128" t="s">
        <v>14</v>
      </c>
      <c r="B37" s="171" t="s">
        <v>128</v>
      </c>
      <c r="C37" s="130" t="s">
        <v>129</v>
      </c>
      <c r="D37" s="131" t="s">
        <v>3</v>
      </c>
      <c r="E37" s="170">
        <v>1250.44</v>
      </c>
      <c r="F37" s="170">
        <v>10.98</v>
      </c>
      <c r="G37" s="134">
        <f>ROUND(E37*F37,2)</f>
        <v>13729.83</v>
      </c>
      <c r="H37" s="20"/>
      <c r="I37" s="114"/>
      <c r="J37" s="20"/>
    </row>
    <row r="38" spans="1:15" ht="27" customHeight="1">
      <c r="A38" s="128" t="s">
        <v>14</v>
      </c>
      <c r="B38" s="129" t="s">
        <v>34</v>
      </c>
      <c r="C38" s="130" t="s">
        <v>7</v>
      </c>
      <c r="D38" s="131" t="s">
        <v>3</v>
      </c>
      <c r="E38" s="132">
        <v>1250.44</v>
      </c>
      <c r="F38" s="133">
        <v>4.57</v>
      </c>
      <c r="G38" s="134">
        <f>ROUND(E38*F38,2)</f>
        <v>5714.51</v>
      </c>
      <c r="H38" s="20"/>
      <c r="I38" s="153" t="s">
        <v>95</v>
      </c>
      <c r="J38" s="20"/>
      <c r="N38" s="1">
        <f t="shared" si="0"/>
        <v>37.5132</v>
      </c>
      <c r="O38" s="169">
        <f>E38*0.03</f>
        <v>37.5132</v>
      </c>
    </row>
    <row r="39" spans="1:14" ht="27" customHeight="1">
      <c r="A39" s="128" t="s">
        <v>14</v>
      </c>
      <c r="B39" s="129" t="s">
        <v>35</v>
      </c>
      <c r="C39" s="142" t="s">
        <v>6</v>
      </c>
      <c r="D39" s="139" t="s">
        <v>4</v>
      </c>
      <c r="E39" s="140">
        <v>37.51</v>
      </c>
      <c r="F39" s="133">
        <v>914.87</v>
      </c>
      <c r="G39" s="141">
        <f>ROUND(E39*F39,2)</f>
        <v>34316.77</v>
      </c>
      <c r="H39" s="20"/>
      <c r="I39" s="114"/>
      <c r="J39" s="20"/>
      <c r="N39" s="1">
        <f t="shared" si="0"/>
        <v>1.1253</v>
      </c>
    </row>
    <row r="40" spans="1:14" ht="27" customHeight="1">
      <c r="A40" s="128"/>
      <c r="B40" s="129"/>
      <c r="C40" s="142"/>
      <c r="D40" s="139"/>
      <c r="E40" s="140"/>
      <c r="F40" s="133"/>
      <c r="G40" s="141"/>
      <c r="H40" s="20"/>
      <c r="I40" s="114"/>
      <c r="J40" s="20"/>
      <c r="N40" s="1">
        <f t="shared" si="0"/>
        <v>0</v>
      </c>
    </row>
    <row r="41" spans="1:14" ht="27" customHeight="1">
      <c r="A41" s="135"/>
      <c r="B41" s="123" t="s">
        <v>96</v>
      </c>
      <c r="C41" s="124" t="s">
        <v>97</v>
      </c>
      <c r="D41" s="136">
        <f>IF($A41="","",VLOOKUP($B41,#REF!,3,0))</f>
      </c>
      <c r="E41" s="137"/>
      <c r="F41" s="137"/>
      <c r="G41" s="127">
        <f>SUM(G42:G44)</f>
        <v>31773.19</v>
      </c>
      <c r="H41" s="20"/>
      <c r="I41" s="114"/>
      <c r="J41" s="20"/>
      <c r="N41" s="1">
        <f t="shared" si="0"/>
        <v>0</v>
      </c>
    </row>
    <row r="42" spans="1:10" ht="27" customHeight="1">
      <c r="A42" s="128" t="s">
        <v>14</v>
      </c>
      <c r="B42" s="171" t="s">
        <v>128</v>
      </c>
      <c r="C42" s="130" t="s">
        <v>129</v>
      </c>
      <c r="D42" s="131" t="s">
        <v>3</v>
      </c>
      <c r="E42" s="170">
        <v>738.94</v>
      </c>
      <c r="F42" s="170">
        <v>10.98</v>
      </c>
      <c r="G42" s="134">
        <f>ROUND(E42*F42,2)</f>
        <v>8113.56</v>
      </c>
      <c r="H42" s="20"/>
      <c r="I42" s="114"/>
      <c r="J42" s="20"/>
    </row>
    <row r="43" spans="1:15" ht="27" customHeight="1">
      <c r="A43" s="128" t="s">
        <v>14</v>
      </c>
      <c r="B43" s="129" t="s">
        <v>34</v>
      </c>
      <c r="C43" s="130" t="s">
        <v>7</v>
      </c>
      <c r="D43" s="131" t="s">
        <v>3</v>
      </c>
      <c r="E43" s="132">
        <v>738.94</v>
      </c>
      <c r="F43" s="133">
        <v>4.57</v>
      </c>
      <c r="G43" s="134">
        <f>ROUND(E43*F43,2)</f>
        <v>3376.96</v>
      </c>
      <c r="H43" s="20"/>
      <c r="I43" s="114"/>
      <c r="J43" s="20"/>
      <c r="N43" s="1">
        <f t="shared" si="0"/>
        <v>22.168200000000002</v>
      </c>
      <c r="O43" s="169">
        <f>E43*0.03</f>
        <v>22.168200000000002</v>
      </c>
    </row>
    <row r="44" spans="1:14" ht="27" customHeight="1">
      <c r="A44" s="128" t="s">
        <v>14</v>
      </c>
      <c r="B44" s="129" t="s">
        <v>35</v>
      </c>
      <c r="C44" s="142" t="s">
        <v>6</v>
      </c>
      <c r="D44" s="139" t="s">
        <v>4</v>
      </c>
      <c r="E44" s="140">
        <v>22.17</v>
      </c>
      <c r="F44" s="133">
        <v>914.87</v>
      </c>
      <c r="G44" s="141">
        <f>ROUND(E44*F44,2)</f>
        <v>20282.67</v>
      </c>
      <c r="H44" s="20"/>
      <c r="I44" s="153" t="s">
        <v>98</v>
      </c>
      <c r="J44" s="20"/>
      <c r="N44" s="1">
        <f t="shared" si="0"/>
        <v>0.6651</v>
      </c>
    </row>
    <row r="45" spans="1:14" ht="27" customHeight="1">
      <c r="A45" s="128"/>
      <c r="B45" s="129"/>
      <c r="C45" s="142"/>
      <c r="D45" s="139"/>
      <c r="E45" s="140"/>
      <c r="F45" s="133"/>
      <c r="G45" s="141"/>
      <c r="H45" s="20"/>
      <c r="I45" s="114"/>
      <c r="J45" s="20"/>
      <c r="N45" s="1">
        <f t="shared" si="0"/>
        <v>0</v>
      </c>
    </row>
    <row r="46" spans="1:14" ht="27" customHeight="1">
      <c r="A46" s="135"/>
      <c r="B46" s="123" t="s">
        <v>99</v>
      </c>
      <c r="C46" s="124" t="s">
        <v>100</v>
      </c>
      <c r="D46" s="136">
        <f>IF($A46="","",VLOOKUP($B46,#REF!,3,0))</f>
      </c>
      <c r="E46" s="137"/>
      <c r="F46" s="137"/>
      <c r="G46" s="127">
        <f>SUM(G47:G49)</f>
        <v>115257.8</v>
      </c>
      <c r="H46" s="20"/>
      <c r="I46" s="114"/>
      <c r="J46" s="20"/>
      <c r="N46" s="1">
        <f t="shared" si="0"/>
        <v>0</v>
      </c>
    </row>
    <row r="47" spans="1:10" ht="27" customHeight="1">
      <c r="A47" s="128" t="s">
        <v>14</v>
      </c>
      <c r="B47" s="171" t="s">
        <v>128</v>
      </c>
      <c r="C47" s="130" t="s">
        <v>129</v>
      </c>
      <c r="D47" s="131" t="s">
        <v>3</v>
      </c>
      <c r="E47" s="170">
        <v>2680.64</v>
      </c>
      <c r="F47" s="170">
        <v>10.98</v>
      </c>
      <c r="G47" s="134">
        <f>ROUND(E47*F47,2)</f>
        <v>29433.43</v>
      </c>
      <c r="H47" s="20"/>
      <c r="I47" s="114"/>
      <c r="J47" s="20"/>
    </row>
    <row r="48" spans="1:15" ht="27" customHeight="1">
      <c r="A48" s="128" t="s">
        <v>14</v>
      </c>
      <c r="B48" s="129" t="s">
        <v>34</v>
      </c>
      <c r="C48" s="130" t="s">
        <v>7</v>
      </c>
      <c r="D48" s="131" t="s">
        <v>3</v>
      </c>
      <c r="E48" s="132">
        <v>2680.64</v>
      </c>
      <c r="F48" s="133">
        <v>4.57</v>
      </c>
      <c r="G48" s="134">
        <f>ROUND(E48*F48,2)</f>
        <v>12250.52</v>
      </c>
      <c r="H48" s="20"/>
      <c r="I48" s="153" t="s">
        <v>101</v>
      </c>
      <c r="J48" s="20"/>
      <c r="N48" s="1">
        <f t="shared" si="0"/>
        <v>80.41919999999999</v>
      </c>
      <c r="O48" s="169">
        <f>E48*0.03</f>
        <v>80.41919999999999</v>
      </c>
    </row>
    <row r="49" spans="1:14" ht="27" customHeight="1">
      <c r="A49" s="128" t="s">
        <v>14</v>
      </c>
      <c r="B49" s="129" t="s">
        <v>35</v>
      </c>
      <c r="C49" s="142" t="s">
        <v>6</v>
      </c>
      <c r="D49" s="139" t="s">
        <v>4</v>
      </c>
      <c r="E49" s="140">
        <v>80.42</v>
      </c>
      <c r="F49" s="133">
        <v>914.87</v>
      </c>
      <c r="G49" s="141">
        <f>ROUND(E49*F49,2)</f>
        <v>73573.85</v>
      </c>
      <c r="H49" s="20"/>
      <c r="I49" s="114"/>
      <c r="J49" s="20"/>
      <c r="N49" s="1">
        <f t="shared" si="0"/>
        <v>2.4126</v>
      </c>
    </row>
    <row r="50" spans="1:14" ht="27" customHeight="1">
      <c r="A50" s="128"/>
      <c r="B50" s="129"/>
      <c r="C50" s="142"/>
      <c r="D50" s="139"/>
      <c r="E50" s="140"/>
      <c r="F50" s="133"/>
      <c r="G50" s="141"/>
      <c r="H50" s="20"/>
      <c r="I50" s="114"/>
      <c r="J50" s="20"/>
      <c r="N50" s="1">
        <f t="shared" si="0"/>
        <v>0</v>
      </c>
    </row>
    <row r="51" spans="1:14" ht="27" customHeight="1">
      <c r="A51" s="135"/>
      <c r="B51" s="123" t="s">
        <v>103</v>
      </c>
      <c r="C51" s="124" t="s">
        <v>104</v>
      </c>
      <c r="D51" s="136">
        <f>IF($A51="","",VLOOKUP($B51,#REF!,3,0))</f>
      </c>
      <c r="E51" s="137"/>
      <c r="F51" s="137"/>
      <c r="G51" s="127">
        <f>SUM(G52:G54)</f>
        <v>60353.03</v>
      </c>
      <c r="H51" s="20"/>
      <c r="I51" s="114"/>
      <c r="J51" s="20"/>
      <c r="N51" s="1">
        <f t="shared" si="0"/>
        <v>0</v>
      </c>
    </row>
    <row r="52" spans="1:10" ht="27" customHeight="1">
      <c r="A52" s="128" t="s">
        <v>14</v>
      </c>
      <c r="B52" s="171" t="s">
        <v>128</v>
      </c>
      <c r="C52" s="130" t="s">
        <v>129</v>
      </c>
      <c r="D52" s="131" t="s">
        <v>3</v>
      </c>
      <c r="E52" s="170">
        <v>1403.72</v>
      </c>
      <c r="F52" s="170">
        <v>10.98</v>
      </c>
      <c r="G52" s="134">
        <f>ROUND(E52*F52,2)</f>
        <v>15412.85</v>
      </c>
      <c r="H52" s="20"/>
      <c r="I52" s="114"/>
      <c r="J52" s="20"/>
    </row>
    <row r="53" spans="1:15" ht="27" customHeight="1">
      <c r="A53" s="128" t="s">
        <v>14</v>
      </c>
      <c r="B53" s="129" t="s">
        <v>34</v>
      </c>
      <c r="C53" s="130" t="s">
        <v>7</v>
      </c>
      <c r="D53" s="131" t="s">
        <v>3</v>
      </c>
      <c r="E53" s="132">
        <v>1403.72</v>
      </c>
      <c r="F53" s="133">
        <v>4.57</v>
      </c>
      <c r="G53" s="134">
        <f>ROUND(E53*F53,2)</f>
        <v>6415</v>
      </c>
      <c r="H53" s="20"/>
      <c r="I53" s="114"/>
      <c r="J53" s="20"/>
      <c r="N53" s="1">
        <f t="shared" si="0"/>
        <v>42.1116</v>
      </c>
      <c r="O53" s="169">
        <f>E53*0.03</f>
        <v>42.1116</v>
      </c>
    </row>
    <row r="54" spans="1:14" ht="27" customHeight="1">
      <c r="A54" s="128" t="s">
        <v>14</v>
      </c>
      <c r="B54" s="129" t="s">
        <v>35</v>
      </c>
      <c r="C54" s="142" t="s">
        <v>6</v>
      </c>
      <c r="D54" s="139" t="s">
        <v>4</v>
      </c>
      <c r="E54" s="140">
        <v>42.11</v>
      </c>
      <c r="F54" s="133">
        <v>914.87</v>
      </c>
      <c r="G54" s="141">
        <f>ROUND(E54*F54,2)</f>
        <v>38525.18</v>
      </c>
      <c r="H54" s="20"/>
      <c r="I54" s="114"/>
      <c r="J54" s="20"/>
      <c r="N54" s="1">
        <f t="shared" si="0"/>
        <v>1.2632999999999999</v>
      </c>
    </row>
    <row r="55" spans="1:14" ht="16.5" customHeight="1">
      <c r="A55" s="128"/>
      <c r="B55" s="129"/>
      <c r="C55" s="142"/>
      <c r="D55" s="139"/>
      <c r="E55" s="140"/>
      <c r="F55" s="133"/>
      <c r="G55" s="141"/>
      <c r="H55" s="20"/>
      <c r="I55" s="20">
        <v>7</v>
      </c>
      <c r="J55" s="20"/>
      <c r="N55" s="1">
        <f t="shared" si="0"/>
        <v>0</v>
      </c>
    </row>
    <row r="56" spans="1:14" ht="18" customHeight="1">
      <c r="A56" s="135"/>
      <c r="B56" s="123" t="s">
        <v>102</v>
      </c>
      <c r="C56" s="124" t="s">
        <v>89</v>
      </c>
      <c r="D56" s="136">
        <f>IF($A56="","",VLOOKUP($B56,#REF!,3,0))</f>
      </c>
      <c r="E56" s="137"/>
      <c r="F56" s="137"/>
      <c r="G56" s="127">
        <f>SUM(G57:G59)</f>
        <v>8098.500000000001</v>
      </c>
      <c r="H56" s="20"/>
      <c r="I56" s="115">
        <f>I33/I55</f>
        <v>1834.477251885659</v>
      </c>
      <c r="J56" s="20"/>
      <c r="N56" s="1">
        <f t="shared" si="0"/>
        <v>0</v>
      </c>
    </row>
    <row r="57" spans="1:14" ht="19.5" customHeight="1">
      <c r="A57" s="128" t="s">
        <v>14</v>
      </c>
      <c r="B57" s="129" t="s">
        <v>34</v>
      </c>
      <c r="C57" s="130" t="s">
        <v>88</v>
      </c>
      <c r="D57" s="131" t="s">
        <v>3</v>
      </c>
      <c r="E57" s="132">
        <v>102</v>
      </c>
      <c r="F57" s="133">
        <v>4.57</v>
      </c>
      <c r="G57" s="134">
        <f>ROUND(E57*F57,2)</f>
        <v>466.14</v>
      </c>
      <c r="N57" s="1">
        <f t="shared" si="0"/>
        <v>3.06</v>
      </c>
    </row>
    <row r="58" spans="1:14" ht="25.5">
      <c r="A58" s="128" t="s">
        <v>14</v>
      </c>
      <c r="B58" s="129" t="s">
        <v>35</v>
      </c>
      <c r="C58" s="142" t="s">
        <v>6</v>
      </c>
      <c r="D58" s="139" t="s">
        <v>4</v>
      </c>
      <c r="E58" s="140">
        <v>7.65</v>
      </c>
      <c r="F58" s="133">
        <v>914.87</v>
      </c>
      <c r="G58" s="141">
        <f>ROUND(E58*F58,2)</f>
        <v>6998.76</v>
      </c>
      <c r="N58" s="1">
        <f t="shared" si="0"/>
        <v>0.2295</v>
      </c>
    </row>
    <row r="59" spans="1:15" ht="18" customHeight="1">
      <c r="A59" s="143" t="s">
        <v>90</v>
      </c>
      <c r="B59" s="129" t="s">
        <v>91</v>
      </c>
      <c r="C59" s="144" t="s">
        <v>0</v>
      </c>
      <c r="D59" s="139" t="s">
        <v>3</v>
      </c>
      <c r="E59" s="140">
        <v>17.6</v>
      </c>
      <c r="F59" s="133">
        <v>36</v>
      </c>
      <c r="G59" s="141">
        <f>ROUND(E59*F59,2)</f>
        <v>633.6</v>
      </c>
      <c r="N59" s="1">
        <f t="shared" si="0"/>
        <v>0.528</v>
      </c>
      <c r="O59" s="5">
        <f>G35+G13+G10+G56</f>
        <v>680323.0800000001</v>
      </c>
    </row>
    <row r="60" spans="1:14" ht="13.5" thickBot="1">
      <c r="A60" s="145"/>
      <c r="B60" s="129"/>
      <c r="C60" s="130">
        <f>IF($A60="","",VLOOKUP($B60,#REF!,2,0))</f>
      </c>
      <c r="D60" s="146">
        <f>IF($A60="","",VLOOKUP($B60,#REF!,3,0))</f>
      </c>
      <c r="E60" s="147"/>
      <c r="F60" s="147"/>
      <c r="G60" s="148"/>
      <c r="N60" s="1">
        <f t="shared" si="0"/>
        <v>0</v>
      </c>
    </row>
    <row r="61" spans="1:14" ht="16.5" thickBot="1">
      <c r="A61" s="184" t="s">
        <v>28</v>
      </c>
      <c r="B61" s="185"/>
      <c r="C61" s="186"/>
      <c r="D61" s="13"/>
      <c r="E61" s="12"/>
      <c r="F61" s="182">
        <f>G56+G13+G10+G35</f>
        <v>680323.0800000001</v>
      </c>
      <c r="G61" s="183"/>
      <c r="N61" s="1">
        <f t="shared" si="0"/>
        <v>0</v>
      </c>
    </row>
    <row r="62" spans="1:7" ht="16.5" thickBot="1">
      <c r="A62" s="184" t="s">
        <v>121</v>
      </c>
      <c r="B62" s="185"/>
      <c r="C62" s="186"/>
      <c r="D62" s="13"/>
      <c r="E62" s="12"/>
      <c r="F62" s="182">
        <f>F61*0.2</f>
        <v>136064.616</v>
      </c>
      <c r="G62" s="183"/>
    </row>
    <row r="63" spans="1:7" ht="16.5" thickBot="1">
      <c r="A63" s="184" t="s">
        <v>15</v>
      </c>
      <c r="B63" s="185"/>
      <c r="C63" s="186"/>
      <c r="D63" s="13"/>
      <c r="E63" s="12"/>
      <c r="F63" s="182">
        <f>F61+F62</f>
        <v>816387.6960000001</v>
      </c>
      <c r="G63" s="183"/>
    </row>
    <row r="64" spans="1:7" ht="12.75">
      <c r="A64" s="149"/>
      <c r="B64" s="150"/>
      <c r="C64" s="151" t="s">
        <v>130</v>
      </c>
      <c r="D64" s="11"/>
      <c r="E64" s="11"/>
      <c r="F64" s="11"/>
      <c r="G64" s="11"/>
    </row>
    <row r="65" spans="1:7" ht="12.75">
      <c r="A65" s="152"/>
      <c r="B65" s="152"/>
      <c r="C65" s="152"/>
      <c r="D65" s="11"/>
      <c r="E65" s="11"/>
      <c r="F65" s="11"/>
      <c r="G65" s="11"/>
    </row>
    <row r="66" spans="1:7" ht="12.75">
      <c r="A66" s="152"/>
      <c r="B66" s="152"/>
      <c r="C66" s="152"/>
      <c r="D66" s="11"/>
      <c r="E66" s="11"/>
      <c r="F66" s="11"/>
      <c r="G66" s="11"/>
    </row>
    <row r="67" spans="1:7" ht="12.75">
      <c r="A67" s="177" t="s">
        <v>25</v>
      </c>
      <c r="B67" s="177"/>
      <c r="C67" s="177"/>
      <c r="D67" s="20"/>
      <c r="E67" s="20"/>
      <c r="F67" s="20"/>
      <c r="G67" s="20"/>
    </row>
    <row r="68" spans="1:3" ht="12.75">
      <c r="A68" s="177" t="s">
        <v>26</v>
      </c>
      <c r="B68" s="177"/>
      <c r="C68" s="177"/>
    </row>
    <row r="69" spans="1:3" ht="12.75">
      <c r="A69" s="177" t="s">
        <v>27</v>
      </c>
      <c r="B69" s="177"/>
      <c r="C69" s="177"/>
    </row>
    <row r="70" spans="1:3" ht="12.75">
      <c r="A70" s="177"/>
      <c r="B70" s="177"/>
      <c r="C70" s="177"/>
    </row>
  </sheetData>
  <sheetProtection/>
  <mergeCells count="23">
    <mergeCell ref="D5:G5"/>
    <mergeCell ref="B7:B8"/>
    <mergeCell ref="C7:C8"/>
    <mergeCell ref="C4:G4"/>
    <mergeCell ref="A1:B4"/>
    <mergeCell ref="C3:G3"/>
    <mergeCell ref="C2:G2"/>
    <mergeCell ref="C1:G1"/>
    <mergeCell ref="F63:G63"/>
    <mergeCell ref="A61:C61"/>
    <mergeCell ref="A62:C62"/>
    <mergeCell ref="A63:C63"/>
    <mergeCell ref="D7:D8"/>
    <mergeCell ref="G7:G8"/>
    <mergeCell ref="F7:F8"/>
    <mergeCell ref="F61:G61"/>
    <mergeCell ref="F62:G62"/>
    <mergeCell ref="A70:C70"/>
    <mergeCell ref="A68:C68"/>
    <mergeCell ref="A67:C67"/>
    <mergeCell ref="A69:C69"/>
    <mergeCell ref="E7:E8"/>
    <mergeCell ref="A7:A8"/>
  </mergeCells>
  <printOptions horizontalCentered="1"/>
  <pageMargins left="0.5905511811023623" right="0.5905511811023623" top="0.5905511811023623" bottom="0.5905511811023623" header="0" footer="0"/>
  <pageSetup fitToHeight="3" horizontalDpi="600" verticalDpi="600" orientation="portrait" paperSize="9" scale="70" r:id="rId2"/>
  <rowBreaks count="1" manualBreakCount="1">
    <brk id="50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0.28125" style="0" customWidth="1"/>
    <col min="2" max="2" width="3.57421875" style="0" customWidth="1"/>
    <col min="3" max="3" width="31.8515625" style="0" customWidth="1"/>
    <col min="4" max="5" width="7.28125" style="0" customWidth="1"/>
    <col min="6" max="6" width="10.140625" style="0" customWidth="1"/>
    <col min="7" max="7" width="10.28125" style="0" customWidth="1"/>
    <col min="8" max="8" width="9.140625" style="0" customWidth="1"/>
    <col min="9" max="9" width="0" style="0" hidden="1" customWidth="1"/>
    <col min="10" max="10" width="7.7109375" style="0" customWidth="1"/>
    <col min="11" max="11" width="12.7109375" style="0" customWidth="1"/>
    <col min="12" max="12" width="7.7109375" style="0" customWidth="1"/>
    <col min="13" max="13" width="12.7109375" style="0" customWidth="1"/>
    <col min="14" max="14" width="8.140625" style="0" bestFit="1" customWidth="1"/>
    <col min="15" max="15" width="11.28125" style="0" customWidth="1"/>
  </cols>
  <sheetData>
    <row r="1" spans="1:15" ht="105.75" customHeight="1">
      <c r="A1" s="207" t="s">
        <v>107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0" ht="15.75" customHeight="1">
      <c r="A2" s="172" t="s">
        <v>108</v>
      </c>
      <c r="B2" s="208">
        <f>'[2]PLANILHA ORÇAMENTÁRIA'!B2:C2</f>
        <v>43922</v>
      </c>
      <c r="C2" s="209"/>
      <c r="D2" s="155"/>
      <c r="E2" s="210" t="s">
        <v>122</v>
      </c>
      <c r="F2" s="210"/>
      <c r="G2" s="211"/>
      <c r="H2" s="211"/>
      <c r="J2" s="174"/>
    </row>
    <row r="3" spans="1:10" ht="33" customHeight="1">
      <c r="A3" s="175" t="s">
        <v>24</v>
      </c>
      <c r="B3" s="213" t="str">
        <f>Orçamento!$C$2</f>
        <v>SERVIÇOS DE RECAPEAMENTO E PAVIMENTAÇÃO  ASFÁLTICO DE DIVERSAS RUAS DO MUNICÍPIO</v>
      </c>
      <c r="C3" s="213"/>
      <c r="D3" s="213"/>
      <c r="E3" s="213"/>
      <c r="F3" s="213"/>
      <c r="G3" s="211" t="s">
        <v>36</v>
      </c>
      <c r="H3" s="211"/>
      <c r="J3" s="174"/>
    </row>
    <row r="4" spans="1:10" ht="54" customHeight="1">
      <c r="A4" s="172" t="s">
        <v>109</v>
      </c>
      <c r="B4" s="227" t="str">
        <f>Orçamento!$C$4</f>
        <v>Local :  Rua Geraldino de Oliveira, Rua Armando Salles de Oliveira, Rua Cesarino Raimund, Rua Julieta Panizza Bartollo, Rua Domingos Cardoso de Souza, Rua s/ denominação, Rua Sebastião Dias Pereira e Rua Adib Demetrius Dauar- Bairro Diversos - Vargem/SP</v>
      </c>
      <c r="C4" s="228"/>
      <c r="D4" s="228"/>
      <c r="E4" s="228"/>
      <c r="F4" s="228"/>
      <c r="G4" s="228"/>
      <c r="H4" s="155"/>
      <c r="J4" s="174"/>
    </row>
    <row r="5" spans="1:15" ht="15.75" customHeight="1">
      <c r="A5" s="175"/>
      <c r="B5" s="156"/>
      <c r="C5" s="156"/>
      <c r="D5" s="155"/>
      <c r="E5" s="172"/>
      <c r="F5" s="172"/>
      <c r="G5" s="155"/>
      <c r="H5" s="155"/>
      <c r="J5" s="212" t="s">
        <v>125</v>
      </c>
      <c r="K5" s="212"/>
      <c r="L5" s="212" t="s">
        <v>110</v>
      </c>
      <c r="M5" s="212"/>
      <c r="N5" s="212" t="s">
        <v>111</v>
      </c>
      <c r="O5" s="212"/>
    </row>
    <row r="6" spans="1:15" ht="22.5" customHeight="1">
      <c r="A6" s="214" t="s">
        <v>112</v>
      </c>
      <c r="B6" s="215"/>
      <c r="C6" s="216" t="s">
        <v>113</v>
      </c>
      <c r="D6" s="217"/>
      <c r="E6" s="218"/>
      <c r="F6" s="219" t="s">
        <v>114</v>
      </c>
      <c r="G6" s="220"/>
      <c r="H6" s="176" t="s">
        <v>115</v>
      </c>
      <c r="J6" s="157" t="s">
        <v>115</v>
      </c>
      <c r="K6" s="157" t="s">
        <v>116</v>
      </c>
      <c r="L6" s="157" t="s">
        <v>115</v>
      </c>
      <c r="M6" s="157" t="s">
        <v>116</v>
      </c>
      <c r="N6" s="157" t="s">
        <v>115</v>
      </c>
      <c r="O6" s="157" t="s">
        <v>116</v>
      </c>
    </row>
    <row r="7" spans="1:15" ht="16.5" customHeight="1">
      <c r="A7" s="222" t="s">
        <v>12</v>
      </c>
      <c r="B7" s="223"/>
      <c r="C7" s="224" t="s">
        <v>117</v>
      </c>
      <c r="D7" s="224"/>
      <c r="E7" s="224"/>
      <c r="F7" s="221">
        <f>Orçamento!G10*1.2</f>
        <v>1932.288</v>
      </c>
      <c r="G7" s="221"/>
      <c r="H7" s="225">
        <f>(F7/$F$11)*100</f>
        <v>0.23668754557026056</v>
      </c>
      <c r="I7" s="225"/>
      <c r="J7" s="158">
        <v>1</v>
      </c>
      <c r="K7" s="159">
        <f>ROUND(J7*$F7,2)</f>
        <v>1932.29</v>
      </c>
      <c r="L7" s="158"/>
      <c r="M7" s="159">
        <f>ROUND(L7*$F7,2)</f>
        <v>0</v>
      </c>
      <c r="N7" s="158"/>
      <c r="O7" s="159">
        <f>ROUND(N7*$F7,2)</f>
        <v>0</v>
      </c>
    </row>
    <row r="8" spans="1:15" ht="15" customHeight="1">
      <c r="A8" s="226" t="s">
        <v>16</v>
      </c>
      <c r="B8" s="226"/>
      <c r="C8" s="224" t="s">
        <v>37</v>
      </c>
      <c r="D8" s="224"/>
      <c r="E8" s="224"/>
      <c r="F8" s="221">
        <f>Orçamento!G13*1.2</f>
        <v>491363.052</v>
      </c>
      <c r="G8" s="221"/>
      <c r="H8" s="221">
        <f>F8/F11*100</f>
        <v>60.18746416775983</v>
      </c>
      <c r="I8" s="221"/>
      <c r="J8" s="158">
        <v>0.5</v>
      </c>
      <c r="K8" s="159">
        <f>ROUND(J8*$F8,2)</f>
        <v>245681.53</v>
      </c>
      <c r="L8" s="158">
        <v>0.5</v>
      </c>
      <c r="M8" s="159">
        <f>ROUND(L8*$F8,2)</f>
        <v>245681.53</v>
      </c>
      <c r="N8" s="158"/>
      <c r="O8" s="159">
        <f>ROUND(N8*$F8,2)</f>
        <v>0</v>
      </c>
    </row>
    <row r="9" spans="1:15" ht="15" customHeight="1">
      <c r="A9" s="226" t="s">
        <v>83</v>
      </c>
      <c r="B9" s="226"/>
      <c r="C9" s="224" t="s">
        <v>123</v>
      </c>
      <c r="D9" s="224"/>
      <c r="E9" s="224"/>
      <c r="F9" s="221">
        <f>Orçamento!G35*1.2</f>
        <v>313374.156</v>
      </c>
      <c r="G9" s="221"/>
      <c r="H9" s="221">
        <f>F9/F11*100</f>
        <v>38.385457979758684</v>
      </c>
      <c r="I9" s="221"/>
      <c r="J9" s="158"/>
      <c r="K9" s="159">
        <f>ROUND(J9*$F9,2)</f>
        <v>0</v>
      </c>
      <c r="L9" s="158">
        <v>0.5</v>
      </c>
      <c r="M9" s="159">
        <f>ROUND(L9*$F9,2)</f>
        <v>156687.08</v>
      </c>
      <c r="N9" s="158">
        <v>0.5</v>
      </c>
      <c r="O9" s="159">
        <f>ROUND(N9*$F9,2)</f>
        <v>156687.08</v>
      </c>
    </row>
    <row r="10" spans="1:15" ht="15" customHeight="1">
      <c r="A10" s="226" t="s">
        <v>102</v>
      </c>
      <c r="B10" s="226"/>
      <c r="C10" s="224" t="s">
        <v>124</v>
      </c>
      <c r="D10" s="224"/>
      <c r="E10" s="224"/>
      <c r="F10" s="221">
        <f>Orçamento!G56*1.2</f>
        <v>9718.2</v>
      </c>
      <c r="G10" s="221"/>
      <c r="H10" s="221">
        <f>F10/F11*100</f>
        <v>1.19039030691124</v>
      </c>
      <c r="I10" s="221"/>
      <c r="J10" s="158">
        <v>0.5</v>
      </c>
      <c r="K10" s="159">
        <f>ROUND(J10*$F10,2)</f>
        <v>4859.1</v>
      </c>
      <c r="L10" s="158">
        <v>0.5</v>
      </c>
      <c r="M10" s="159">
        <f>ROUND(L10*$F10,2)</f>
        <v>4859.1</v>
      </c>
      <c r="N10" s="158"/>
      <c r="O10" s="159">
        <f>ROUND(N10*$F10,2)</f>
        <v>0</v>
      </c>
    </row>
    <row r="11" spans="1:15" ht="15">
      <c r="A11" s="160"/>
      <c r="B11" s="160"/>
      <c r="C11" s="161" t="s">
        <v>118</v>
      </c>
      <c r="D11" s="162"/>
      <c r="E11" s="163"/>
      <c r="F11" s="229">
        <f>SUM(F7:G10)</f>
        <v>816387.696</v>
      </c>
      <c r="G11" s="230"/>
      <c r="H11" s="164">
        <f>SUM(H7:I10)</f>
        <v>100.00000000000001</v>
      </c>
      <c r="I11" s="165"/>
      <c r="J11" s="166">
        <f>K11/F11</f>
        <v>0.30925615517850724</v>
      </c>
      <c r="K11" s="167">
        <f>SUM(K7:K10)</f>
        <v>252472.92</v>
      </c>
      <c r="L11" s="166">
        <f>M11/F11</f>
        <v>0.498816569621598</v>
      </c>
      <c r="M11" s="167">
        <f>SUM(M7:M10)</f>
        <v>407227.70999999996</v>
      </c>
      <c r="N11" s="166">
        <f>O11/F11</f>
        <v>0.1919272923486098</v>
      </c>
      <c r="O11" s="167">
        <f>SUM(O7:O10)</f>
        <v>156687.08</v>
      </c>
    </row>
    <row r="12" spans="6:15" ht="15">
      <c r="F12" s="231" t="s">
        <v>119</v>
      </c>
      <c r="G12" s="231"/>
      <c r="H12" s="231"/>
      <c r="J12" s="168">
        <f>J11</f>
        <v>0.30925615517850724</v>
      </c>
      <c r="K12" s="167">
        <f>K11</f>
        <v>252472.92</v>
      </c>
      <c r="L12" s="168">
        <f>J12+L11</f>
        <v>0.8080727248001052</v>
      </c>
      <c r="M12" s="167">
        <f>K12+M11</f>
        <v>659700.63</v>
      </c>
      <c r="N12" s="168">
        <f>L12+N11</f>
        <v>1.000000017148715</v>
      </c>
      <c r="O12" s="167">
        <v>816387.7</v>
      </c>
    </row>
    <row r="14" ht="12.75">
      <c r="F14" t="s">
        <v>131</v>
      </c>
    </row>
    <row r="18" spans="11:13" ht="13.5" thickBot="1">
      <c r="K18" s="173"/>
      <c r="L18" s="173"/>
      <c r="M18" s="173"/>
    </row>
    <row r="19" spans="11:13" ht="12.75">
      <c r="K19" s="177" t="s">
        <v>26</v>
      </c>
      <c r="L19" s="177"/>
      <c r="M19" s="177"/>
    </row>
    <row r="20" spans="11:13" ht="12.75">
      <c r="K20" s="177" t="s">
        <v>27</v>
      </c>
      <c r="L20" s="177"/>
      <c r="M20" s="177"/>
    </row>
  </sheetData>
  <sheetProtection/>
  <mergeCells count="33">
    <mergeCell ref="F12:H12"/>
    <mergeCell ref="A9:B9"/>
    <mergeCell ref="C9:E9"/>
    <mergeCell ref="F9:G9"/>
    <mergeCell ref="H9:I9"/>
    <mergeCell ref="A10:B10"/>
    <mergeCell ref="C10:E10"/>
    <mergeCell ref="A8:B8"/>
    <mergeCell ref="C8:E8"/>
    <mergeCell ref="F8:G8"/>
    <mergeCell ref="H8:I8"/>
    <mergeCell ref="B4:G4"/>
    <mergeCell ref="F11:G11"/>
    <mergeCell ref="N5:O5"/>
    <mergeCell ref="A6:B6"/>
    <mergeCell ref="C6:E6"/>
    <mergeCell ref="F6:G6"/>
    <mergeCell ref="F10:G10"/>
    <mergeCell ref="H10:I10"/>
    <mergeCell ref="A7:B7"/>
    <mergeCell ref="C7:E7"/>
    <mergeCell ref="F7:G7"/>
    <mergeCell ref="H7:I7"/>
    <mergeCell ref="K19:M19"/>
    <mergeCell ref="K20:M20"/>
    <mergeCell ref="A1:O1"/>
    <mergeCell ref="B2:C2"/>
    <mergeCell ref="E2:F2"/>
    <mergeCell ref="G2:H2"/>
    <mergeCell ref="G3:H3"/>
    <mergeCell ref="J5:K5"/>
    <mergeCell ref="B3:F3"/>
    <mergeCell ref="L5:M5"/>
  </mergeCells>
  <printOptions/>
  <pageMargins left="0.5905511811023623" right="0.5905511811023623" top="0.5905511811023623" bottom="0.5905511811023623" header="0" footer="0"/>
  <pageSetup horizontalDpi="600" verticalDpi="600" orientation="landscape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00390625" style="0" customWidth="1"/>
    <col min="2" max="2" width="32.00390625" style="0" customWidth="1"/>
    <col min="3" max="3" width="12.7109375" style="0" customWidth="1"/>
    <col min="4" max="4" width="13.8515625" style="0" customWidth="1"/>
    <col min="7" max="7" width="11.421875" style="0" customWidth="1"/>
  </cols>
  <sheetData>
    <row r="1" spans="1:10" ht="12.75">
      <c r="A1" s="30"/>
      <c r="B1" s="31"/>
      <c r="C1" s="34" t="s">
        <v>38</v>
      </c>
      <c r="D1" s="34"/>
      <c r="E1" s="34"/>
      <c r="F1" s="31"/>
      <c r="G1" s="104"/>
      <c r="H1" s="32"/>
      <c r="I1" s="33"/>
      <c r="J1" s="33"/>
    </row>
    <row r="2" spans="1:10" ht="12.75">
      <c r="A2" s="31"/>
      <c r="B2" s="31"/>
      <c r="C2" s="34"/>
      <c r="D2" s="34"/>
      <c r="E2" s="34"/>
      <c r="F2" s="34"/>
      <c r="G2" s="105"/>
      <c r="H2" s="32"/>
      <c r="I2" s="33"/>
      <c r="J2" s="33"/>
    </row>
    <row r="3" spans="1:10" ht="12.75">
      <c r="A3" s="31"/>
      <c r="B3" s="31"/>
      <c r="C3" s="31"/>
      <c r="D3" s="31"/>
      <c r="E3" s="31"/>
      <c r="F3" s="31"/>
      <c r="G3" s="31"/>
      <c r="H3" s="32"/>
      <c r="I3" s="33"/>
      <c r="J3" s="33"/>
    </row>
    <row r="4" spans="1:10" ht="12.75">
      <c r="A4" s="31"/>
      <c r="B4" s="35" t="s">
        <v>39</v>
      </c>
      <c r="C4" s="241" t="s">
        <v>40</v>
      </c>
      <c r="D4" s="242"/>
      <c r="E4" s="243" t="s">
        <v>41</v>
      </c>
      <c r="F4" s="244"/>
      <c r="G4" s="245"/>
      <c r="H4" s="32"/>
      <c r="I4" s="33"/>
      <c r="J4" s="33"/>
    </row>
    <row r="5" spans="1:10" ht="12.75">
      <c r="A5" s="31"/>
      <c r="B5" s="36">
        <f>Import.CR</f>
        <v>0</v>
      </c>
      <c r="C5" s="246" t="str">
        <f>CONCATENATE('[1]Dados'!$G$12," / ",'[1]Dados'!$G$13)</f>
        <v> / Planejamento Urbano/ Pavimentação</v>
      </c>
      <c r="D5" s="247"/>
      <c r="E5" s="248" t="str">
        <f>Import.Município</f>
        <v>Pedra Bela/SP</v>
      </c>
      <c r="F5" s="249"/>
      <c r="G5" s="250"/>
      <c r="H5" s="37"/>
      <c r="I5" s="38"/>
      <c r="J5" s="38"/>
    </row>
    <row r="6" spans="1:10" ht="12.75">
      <c r="A6" s="31"/>
      <c r="B6" s="39"/>
      <c r="C6" s="39"/>
      <c r="D6" s="40"/>
      <c r="E6" s="41"/>
      <c r="F6" s="42"/>
      <c r="G6" s="42"/>
      <c r="H6" s="37"/>
      <c r="I6" s="38"/>
      <c r="J6" s="38"/>
    </row>
    <row r="7" spans="1:10" ht="12.75">
      <c r="A7" s="31"/>
      <c r="B7" s="43" t="s">
        <v>42</v>
      </c>
      <c r="C7" s="241" t="s">
        <v>43</v>
      </c>
      <c r="D7" s="242"/>
      <c r="E7" s="241" t="s">
        <v>44</v>
      </c>
      <c r="F7" s="251"/>
      <c r="G7" s="242"/>
      <c r="H7" s="37"/>
      <c r="I7" s="38"/>
      <c r="J7" s="38"/>
    </row>
    <row r="8" spans="1:10" ht="27" customHeight="1">
      <c r="A8" s="31"/>
      <c r="B8" s="44" t="s">
        <v>80</v>
      </c>
      <c r="C8" s="255" t="s">
        <v>81</v>
      </c>
      <c r="D8" s="256"/>
      <c r="E8" s="255">
        <f>'[1]Dados'!$G$25</f>
        <v>0</v>
      </c>
      <c r="F8" s="257"/>
      <c r="G8" s="256"/>
      <c r="H8" s="37"/>
      <c r="I8" s="38"/>
      <c r="J8" s="38"/>
    </row>
    <row r="9" spans="1:10" ht="12.75">
      <c r="A9" s="31"/>
      <c r="B9" s="45"/>
      <c r="C9" s="46"/>
      <c r="D9" s="46"/>
      <c r="E9" s="38"/>
      <c r="F9" s="38"/>
      <c r="G9" s="46"/>
      <c r="H9" s="32"/>
      <c r="I9" s="33"/>
      <c r="J9" s="33"/>
    </row>
    <row r="10" spans="1:10" ht="12.75">
      <c r="A10" s="31"/>
      <c r="B10" s="47" t="s">
        <v>45</v>
      </c>
      <c r="C10" s="46"/>
      <c r="D10" s="46"/>
      <c r="E10" s="38"/>
      <c r="F10" s="38"/>
      <c r="G10" s="46"/>
      <c r="H10" s="32"/>
      <c r="I10" s="33"/>
      <c r="J10" s="33"/>
    </row>
    <row r="11" spans="1:10" ht="12.75">
      <c r="A11" s="31"/>
      <c r="B11" s="258" t="s">
        <v>46</v>
      </c>
      <c r="C11" s="258"/>
      <c r="D11" s="258"/>
      <c r="E11" s="258"/>
      <c r="F11" s="258"/>
      <c r="G11" s="258"/>
      <c r="H11" s="32"/>
      <c r="I11" s="33"/>
      <c r="J11" s="33"/>
    </row>
    <row r="12" spans="1:10" ht="12.75">
      <c r="A12" s="31"/>
      <c r="B12" s="31"/>
      <c r="C12" s="31"/>
      <c r="D12" s="31"/>
      <c r="E12" s="31"/>
      <c r="F12" s="31"/>
      <c r="G12" s="31"/>
      <c r="H12" s="48" t="s">
        <v>47</v>
      </c>
      <c r="I12" s="49" t="s">
        <v>48</v>
      </c>
      <c r="J12" s="49"/>
    </row>
    <row r="13" spans="1:10" ht="12.75">
      <c r="A13" s="31"/>
      <c r="B13" s="50" t="s">
        <v>49</v>
      </c>
      <c r="C13" s="51"/>
      <c r="D13" s="51"/>
      <c r="E13" s="51"/>
      <c r="F13" s="52" t="s">
        <v>50</v>
      </c>
      <c r="G13" s="52" t="s">
        <v>51</v>
      </c>
      <c r="H13" s="48" t="s">
        <v>52</v>
      </c>
      <c r="I13" s="53" t="s">
        <v>53</v>
      </c>
      <c r="J13" s="53" t="s">
        <v>54</v>
      </c>
    </row>
    <row r="14" spans="1:13" ht="12.75">
      <c r="A14" s="31"/>
      <c r="B14" s="54" t="s">
        <v>55</v>
      </c>
      <c r="C14" s="55"/>
      <c r="D14" s="55"/>
      <c r="E14" s="55"/>
      <c r="F14" s="56" t="s">
        <v>56</v>
      </c>
      <c r="G14" s="57">
        <v>0.038</v>
      </c>
      <c r="H14" s="58" t="str">
        <f>IF(OR(G14&lt;I14,G14&gt;J14),"NÃO","SIM")</f>
        <v>SIM</v>
      </c>
      <c r="I14" s="59">
        <v>0.038</v>
      </c>
      <c r="J14" s="60">
        <v>0.0467</v>
      </c>
      <c r="L14" s="103">
        <v>0.038</v>
      </c>
      <c r="M14" s="103">
        <v>0.0467</v>
      </c>
    </row>
    <row r="15" spans="1:13" ht="12.75">
      <c r="A15" s="31"/>
      <c r="B15" s="61" t="s">
        <v>57</v>
      </c>
      <c r="C15" s="62"/>
      <c r="D15" s="62"/>
      <c r="E15" s="62"/>
      <c r="F15" s="63" t="s">
        <v>58</v>
      </c>
      <c r="G15" s="64">
        <v>0.0032</v>
      </c>
      <c r="H15" s="58" t="str">
        <f>IF(OR(G15&lt;I15,G15&gt;J15),"NÃO","SIM")</f>
        <v>SIM</v>
      </c>
      <c r="I15" s="65">
        <v>0.0032</v>
      </c>
      <c r="J15" s="66">
        <v>0.0074</v>
      </c>
      <c r="L15" s="103">
        <v>0.0032</v>
      </c>
      <c r="M15" s="103">
        <v>0.0074</v>
      </c>
    </row>
    <row r="16" spans="1:13" ht="12.75">
      <c r="A16" s="31"/>
      <c r="B16" s="61" t="s">
        <v>59</v>
      </c>
      <c r="C16" s="62"/>
      <c r="D16" s="62"/>
      <c r="E16" s="62"/>
      <c r="F16" s="63" t="s">
        <v>60</v>
      </c>
      <c r="G16" s="64">
        <v>0.006</v>
      </c>
      <c r="H16" s="58" t="str">
        <f>IF(OR(G16&lt;I16,G16&gt;J16),"NÃO","SIM")</f>
        <v>SIM</v>
      </c>
      <c r="I16" s="65">
        <v>0.005</v>
      </c>
      <c r="J16" s="66">
        <v>0.0097</v>
      </c>
      <c r="L16" s="103">
        <v>0.005</v>
      </c>
      <c r="M16" s="103">
        <v>0.0097</v>
      </c>
    </row>
    <row r="17" spans="1:13" ht="12.75">
      <c r="A17" s="31"/>
      <c r="B17" s="61" t="s">
        <v>61</v>
      </c>
      <c r="C17" s="62"/>
      <c r="D17" s="62"/>
      <c r="E17" s="62"/>
      <c r="F17" s="63" t="s">
        <v>62</v>
      </c>
      <c r="G17" s="64">
        <v>0.011</v>
      </c>
      <c r="H17" s="58" t="str">
        <f>IF(OR(G17&lt;I17,G17&gt;J17),"NÃO","SIM")</f>
        <v>SIM</v>
      </c>
      <c r="I17" s="65">
        <v>0.0102</v>
      </c>
      <c r="J17" s="66">
        <v>0.0121</v>
      </c>
      <c r="L17" s="103">
        <v>0.0102</v>
      </c>
      <c r="M17" s="103">
        <v>0.0121</v>
      </c>
    </row>
    <row r="18" spans="1:13" ht="12.75">
      <c r="A18" s="31"/>
      <c r="B18" s="67" t="s">
        <v>63</v>
      </c>
      <c r="C18" s="68"/>
      <c r="D18" s="68"/>
      <c r="E18" s="68"/>
      <c r="F18" s="63" t="s">
        <v>64</v>
      </c>
      <c r="G18" s="69">
        <v>0.0726</v>
      </c>
      <c r="H18" s="58" t="str">
        <f>IF(OR(G18&lt;I18,G18&gt;J18),"NÃO","SIM")</f>
        <v>SIM</v>
      </c>
      <c r="I18" s="70">
        <v>0.0664</v>
      </c>
      <c r="J18" s="71">
        <v>0.0869</v>
      </c>
      <c r="L18" s="103">
        <v>0.0664</v>
      </c>
      <c r="M18" s="103">
        <v>0.0869</v>
      </c>
    </row>
    <row r="19" spans="1:13" ht="12.75">
      <c r="A19" s="31"/>
      <c r="B19" s="67" t="s">
        <v>65</v>
      </c>
      <c r="C19" s="72" t="s">
        <v>66</v>
      </c>
      <c r="D19" s="62"/>
      <c r="E19" s="73"/>
      <c r="F19" s="74" t="s">
        <v>67</v>
      </c>
      <c r="G19" s="69">
        <v>0.0065</v>
      </c>
      <c r="H19" s="58"/>
      <c r="I19" s="232" t="s">
        <v>68</v>
      </c>
      <c r="J19" s="233"/>
      <c r="L19" s="103" t="s">
        <v>68</v>
      </c>
      <c r="M19" s="103"/>
    </row>
    <row r="20" spans="1:13" ht="12.75">
      <c r="A20" s="31"/>
      <c r="B20" s="75"/>
      <c r="C20" s="72" t="s">
        <v>69</v>
      </c>
      <c r="D20" s="62"/>
      <c r="E20" s="73"/>
      <c r="F20" s="74"/>
      <c r="G20" s="69">
        <v>0.03</v>
      </c>
      <c r="H20" s="58"/>
      <c r="I20" s="234"/>
      <c r="J20" s="235"/>
      <c r="L20" s="103"/>
      <c r="M20" s="103"/>
    </row>
    <row r="21" spans="1:13" ht="12.75">
      <c r="A21" s="31"/>
      <c r="B21" s="75"/>
      <c r="C21" s="72" t="s">
        <v>70</v>
      </c>
      <c r="D21" s="62"/>
      <c r="E21" s="73"/>
      <c r="F21" s="74"/>
      <c r="G21" s="76">
        <f>IF(B11=" - Fornecimento de Materiais e Equipamentos (Aquisição direta)",0,ROUND(G30*F31,4))</f>
        <v>0.008</v>
      </c>
      <c r="H21" s="58"/>
      <c r="I21" s="234"/>
      <c r="J21" s="235"/>
      <c r="L21" s="103"/>
      <c r="M21" s="103"/>
    </row>
    <row r="22" spans="1:13" ht="12.75">
      <c r="A22" s="31"/>
      <c r="B22" s="75"/>
      <c r="C22" s="77" t="s">
        <v>71</v>
      </c>
      <c r="D22" s="78"/>
      <c r="E22" s="79"/>
      <c r="F22" s="74"/>
      <c r="G22" s="80">
        <f>IF('[1]Dados'!$G$28="SELECIONAR","Ver DADOS",IF(B11=" - Fornecimento de Materiais e Equipamentos (Aquisição direta)",0,IF('[1]Dados'!$G$28="não desonerado",0%,4.5%)))</f>
        <v>0.045</v>
      </c>
      <c r="H22" s="58"/>
      <c r="I22" s="236"/>
      <c r="J22" s="237"/>
      <c r="L22" s="103"/>
      <c r="M22" s="103"/>
    </row>
    <row r="23" spans="1:13" ht="12.75">
      <c r="A23" s="31"/>
      <c r="B23" s="81" t="s">
        <v>72</v>
      </c>
      <c r="C23" s="81"/>
      <c r="D23" s="81"/>
      <c r="E23" s="81"/>
      <c r="F23" s="81"/>
      <c r="G23" s="82">
        <f>IF(B11=" - Fornecimento de Materiais e Equipamentos (Aquisição direta)",0,ROUND((((1+SUM(G$21:G$23))*(1+G$24)*(1+G$25))/(1-SUM(G$26:G$28)))-1,4))</f>
        <v>0.196</v>
      </c>
      <c r="H23" s="58" t="str">
        <f>IF(OR(G23&lt;I23,G23&gt;J23),"NÃO","SIM")</f>
        <v>SIM</v>
      </c>
      <c r="I23" s="83">
        <v>0.196</v>
      </c>
      <c r="J23" s="83">
        <v>0.2423</v>
      </c>
      <c r="L23" s="103">
        <v>0.196</v>
      </c>
      <c r="M23" s="103">
        <v>0.2423</v>
      </c>
    </row>
    <row r="24" spans="1:10" ht="12.75">
      <c r="A24" s="31"/>
      <c r="B24" s="84" t="s">
        <v>73</v>
      </c>
      <c r="C24" s="85"/>
      <c r="D24" s="85"/>
      <c r="E24" s="85"/>
      <c r="F24" s="85"/>
      <c r="G24" s="86">
        <f>I28</f>
        <v>0.196011790558631</v>
      </c>
      <c r="H24" s="58" t="str">
        <f>IF(B11=" - Fornecimento de Materiais e Equipamentos (Aquisição direta)","SIM",IF(OR(AF3&lt;$AL$10,AF3&gt;$AM$10),"NÃO","SIM"))</f>
        <v>SIM</v>
      </c>
      <c r="I24" s="87"/>
      <c r="J24" s="87"/>
    </row>
    <row r="25" spans="1:10" ht="12.75">
      <c r="A25" s="31"/>
      <c r="B25" s="31"/>
      <c r="C25" s="31"/>
      <c r="D25" s="31"/>
      <c r="E25" s="31"/>
      <c r="F25" s="31"/>
      <c r="G25" s="31"/>
      <c r="H25" s="32"/>
      <c r="I25" s="87"/>
      <c r="J25" s="87"/>
    </row>
    <row r="26" spans="1:10" ht="12.75">
      <c r="A26" s="31"/>
      <c r="B26" s="31" t="s">
        <v>74</v>
      </c>
      <c r="C26" s="31"/>
      <c r="D26" s="31"/>
      <c r="E26" s="31"/>
      <c r="F26" s="31"/>
      <c r="G26" s="31"/>
      <c r="H26" s="32"/>
      <c r="I26" s="31"/>
      <c r="J26" s="31"/>
    </row>
    <row r="27" spans="1:10" ht="12.75">
      <c r="A27" s="31"/>
      <c r="B27" s="31"/>
      <c r="C27" s="31"/>
      <c r="D27" s="31"/>
      <c r="E27" s="31"/>
      <c r="F27" s="31"/>
      <c r="G27" s="31"/>
      <c r="H27" s="32"/>
      <c r="I27" s="106">
        <f>(((1+G14+G15+G16)*(1+G17)*(1+G18))/(1-G19))-1</f>
        <v>0.143011790558631</v>
      </c>
      <c r="J27" s="33"/>
    </row>
    <row r="28" spans="1:10" ht="12.75">
      <c r="A28" s="88"/>
      <c r="B28" s="238">
        <f>IF(AND(B11=" - Fornecimento de Materiais e Equipamentos (Aquisição direta)",G$31=0),"",IF(OR($AJ$10&lt;$AL$10,$AJ$10&gt;$AM$10)=TRUE(),$AL$21,""))</f>
      </c>
      <c r="C28" s="238"/>
      <c r="D28" s="238"/>
      <c r="E28" s="238"/>
      <c r="F28" s="238"/>
      <c r="G28" s="238"/>
      <c r="H28" s="33"/>
      <c r="I28" s="107">
        <f>I27+G21+G22</f>
        <v>0.196011790558631</v>
      </c>
      <c r="J28" s="33"/>
    </row>
    <row r="29" spans="1:10" ht="12.75">
      <c r="A29" s="88"/>
      <c r="B29" s="89"/>
      <c r="C29" s="89"/>
      <c r="D29" s="89"/>
      <c r="E29" s="89"/>
      <c r="F29" s="89"/>
      <c r="G29" s="89"/>
      <c r="H29" s="33"/>
      <c r="I29" s="33"/>
      <c r="J29" s="33"/>
    </row>
    <row r="30" spans="1:10" ht="15">
      <c r="A30" s="88"/>
      <c r="B30" s="239" t="s">
        <v>75</v>
      </c>
      <c r="C30" s="240"/>
      <c r="D30" s="240"/>
      <c r="E30" s="240"/>
      <c r="F30" s="240"/>
      <c r="G30" s="90">
        <v>0.4</v>
      </c>
      <c r="H30" s="33"/>
      <c r="I30" s="33"/>
      <c r="J30" s="33"/>
    </row>
    <row r="31" spans="1:10" ht="15">
      <c r="A31" s="88"/>
      <c r="B31" s="239" t="s">
        <v>76</v>
      </c>
      <c r="C31" s="240"/>
      <c r="D31" s="240"/>
      <c r="E31" s="240"/>
      <c r="F31" s="90">
        <v>0.02</v>
      </c>
      <c r="G31" s="89"/>
      <c r="H31" s="33"/>
      <c r="I31" s="33"/>
      <c r="J31" s="33"/>
    </row>
    <row r="32" spans="1:10" ht="15">
      <c r="A32" s="91"/>
      <c r="B32" s="92"/>
      <c r="C32" s="93"/>
      <c r="D32" s="93"/>
      <c r="E32" s="93"/>
      <c r="F32" s="94"/>
      <c r="G32" s="95"/>
      <c r="H32" s="96"/>
      <c r="I32" s="96"/>
      <c r="J32" s="96"/>
    </row>
    <row r="33" spans="1:10" ht="12.75">
      <c r="A33" s="88"/>
      <c r="B33" s="252" t="s">
        <v>77</v>
      </c>
      <c r="C33" s="253"/>
      <c r="D33" s="253"/>
      <c r="E33" s="253"/>
      <c r="F33" s="253"/>
      <c r="G33" s="253"/>
      <c r="H33" s="33"/>
      <c r="I33" s="33"/>
      <c r="J33" s="33"/>
    </row>
    <row r="34" spans="1:10" ht="15">
      <c r="A34" s="88"/>
      <c r="B34" s="108"/>
      <c r="C34" s="97"/>
      <c r="D34" s="97"/>
      <c r="E34" s="98"/>
      <c r="F34" s="98"/>
      <c r="G34" s="98"/>
      <c r="H34" s="33"/>
      <c r="I34" s="33"/>
      <c r="J34" s="33"/>
    </row>
    <row r="35" spans="1:10" ht="15">
      <c r="A35" s="88"/>
      <c r="B35" s="108"/>
      <c r="C35" s="97"/>
      <c r="D35" s="97"/>
      <c r="E35" s="98"/>
      <c r="F35" s="98"/>
      <c r="G35" s="98"/>
      <c r="H35" s="33"/>
      <c r="I35" s="33"/>
      <c r="J35" s="33"/>
    </row>
    <row r="36" spans="1:10" ht="15">
      <c r="A36" s="88"/>
      <c r="B36" s="108"/>
      <c r="C36" s="97"/>
      <c r="D36" s="97"/>
      <c r="E36" s="98"/>
      <c r="F36" s="98"/>
      <c r="G36" s="98"/>
      <c r="H36" s="33"/>
      <c r="I36" s="33"/>
      <c r="J36" s="33"/>
    </row>
    <row r="37" spans="1:10" ht="15">
      <c r="A37" s="88"/>
      <c r="B37" s="109"/>
      <c r="C37" s="110"/>
      <c r="D37" s="97"/>
      <c r="E37" s="97"/>
      <c r="F37" s="98"/>
      <c r="G37" s="98"/>
      <c r="H37" s="33"/>
      <c r="I37" s="33"/>
      <c r="J37" s="33"/>
    </row>
    <row r="38" spans="1:10" ht="12.75">
      <c r="A38" s="31"/>
      <c r="B38" s="78" t="s">
        <v>78</v>
      </c>
      <c r="C38" s="78"/>
      <c r="D38" s="78"/>
      <c r="E38" s="78"/>
      <c r="F38" s="31"/>
      <c r="G38" s="31"/>
      <c r="H38" s="32"/>
      <c r="I38" s="33"/>
      <c r="J38" s="33"/>
    </row>
    <row r="39" spans="1:10" ht="12.75">
      <c r="A39" s="31"/>
      <c r="B39" s="254" t="str">
        <f>CONCATENATE("Nome: ",'[1]Dados'!$G$32)</f>
        <v>Nome: José Claudio Bertão Junior</v>
      </c>
      <c r="C39" s="254"/>
      <c r="D39" s="254"/>
      <c r="E39" s="254"/>
      <c r="F39" s="99" t="s">
        <v>79</v>
      </c>
      <c r="G39" s="100">
        <v>43203</v>
      </c>
      <c r="H39" s="37"/>
      <c r="I39" s="38"/>
      <c r="J39" s="38"/>
    </row>
    <row r="40" spans="1:10" ht="12.75">
      <c r="A40" s="31"/>
      <c r="B40" s="254" t="str">
        <f>CONCATENATE("CREA/CAU: ",'[1]Dados'!$G$33)</f>
        <v>CREA/CAU: 060.191.448-8</v>
      </c>
      <c r="C40" s="254"/>
      <c r="D40" s="254"/>
      <c r="E40" s="254"/>
      <c r="F40" s="30"/>
      <c r="G40" s="30"/>
      <c r="H40" s="37"/>
      <c r="I40" s="38"/>
      <c r="J40" s="38"/>
    </row>
    <row r="41" spans="1:10" ht="12.75">
      <c r="A41" s="31"/>
      <c r="B41" s="30" t="str">
        <f>CONCATENATE("ART/RRT: ",'[1]Dados'!$G$34)</f>
        <v>ART/RRT: </v>
      </c>
      <c r="C41" s="101"/>
      <c r="D41" s="102"/>
      <c r="E41" s="102"/>
      <c r="F41" s="30"/>
      <c r="G41" s="30"/>
      <c r="H41" s="37"/>
      <c r="I41" s="38"/>
      <c r="J41" s="38"/>
    </row>
    <row r="42" spans="1:10" ht="12.75">
      <c r="A42" s="31"/>
      <c r="B42" s="31"/>
      <c r="C42" s="31"/>
      <c r="D42" s="31"/>
      <c r="E42" s="31"/>
      <c r="F42" s="31"/>
      <c r="G42" s="31"/>
      <c r="H42" s="32"/>
      <c r="I42" s="33"/>
      <c r="J42" s="33"/>
    </row>
  </sheetData>
  <sheetProtection/>
  <mergeCells count="16">
    <mergeCell ref="B31:E31"/>
    <mergeCell ref="B33:G33"/>
    <mergeCell ref="B39:E39"/>
    <mergeCell ref="B40:E40"/>
    <mergeCell ref="C8:D8"/>
    <mergeCell ref="E8:G8"/>
    <mergeCell ref="B11:G11"/>
    <mergeCell ref="I19:J22"/>
    <mergeCell ref="B28:G28"/>
    <mergeCell ref="B30:F30"/>
    <mergeCell ref="C4:D4"/>
    <mergeCell ref="E4:G4"/>
    <mergeCell ref="C5:D5"/>
    <mergeCell ref="E5:G5"/>
    <mergeCell ref="C7:D7"/>
    <mergeCell ref="E7:G7"/>
  </mergeCells>
  <dataValidations count="2">
    <dataValidation type="list" allowBlank="1" showInputMessage="1" showErrorMessage="1" sqref="B11:G11">
      <formula1>$AI$14:$AI$20</formula1>
    </dataValidation>
    <dataValidation type="decimal" allowBlank="1" showInputMessage="1" showErrorMessage="1" sqref="F31">
      <formula1>0</formula1>
      <formula2>0.05</formula2>
    </dataValidation>
  </dataValidation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Cia. Paulista de Obras e Serviços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000458_SERGIO</dc:creator>
  <cp:keywords/>
  <dc:description/>
  <cp:lastModifiedBy>Prefeitura</cp:lastModifiedBy>
  <cp:lastPrinted>2020-05-08T17:32:47Z</cp:lastPrinted>
  <dcterms:created xsi:type="dcterms:W3CDTF">2011-05-11T11:57:53Z</dcterms:created>
  <dcterms:modified xsi:type="dcterms:W3CDTF">2020-05-20T13:47:45Z</dcterms:modified>
  <cp:category/>
  <cp:version/>
  <cp:contentType/>
  <cp:contentStatus/>
</cp:coreProperties>
</file>